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s.backer\Desktop\"/>
    </mc:Choice>
  </mc:AlternateContent>
  <xr:revisionPtr revIDLastSave="0" documentId="13_ncr:1_{2FB691C2-6C66-4029-B224-17FDAEE78DA6}" xr6:coauthVersionLast="47" xr6:coauthVersionMax="47" xr10:uidLastSave="{00000000-0000-0000-0000-000000000000}"/>
  <workbookProtection workbookAlgorithmName="SHA-512" workbookHashValue="L2sFn6Brezed0RzhT+tjPmBdaF0w/gnXkzukilTYaMW1YC4DEHV5ZJml/J/wqr4lmZqYIu6vpr+/bGpUt8U0nA==" workbookSaltValue="aV79fJTd2nSFB+j6YZ6mHg==" workbookSpinCount="100000" lockStructure="1"/>
  <bookViews>
    <workbookView showSheetTabs="0" xWindow="-120" yWindow="-120" windowWidth="29040" windowHeight="15720" xr2:uid="{AF27EB42-7A4F-46DD-8104-55522B9C743D}"/>
  </bookViews>
  <sheets>
    <sheet name="Start" sheetId="3" r:id="rId1"/>
    <sheet name="Ersparnisrechner kurz" sheetId="6" r:id="rId2"/>
    <sheet name="Ersparnisrechner lang" sheetId="5" r:id="rId3"/>
  </sheets>
  <definedNames>
    <definedName name="_xlnm.Print_Area" localSheetId="1">'Ersparnisrechner kurz'!$A$1:$L$93</definedName>
    <definedName name="_xlnm.Print_Area" localSheetId="2">'Ersparnisrechner lang'!$A$1:$L$93</definedName>
    <definedName name="_xlnm.Print_Area" localSheetId="0">Start!$A$1:$J$43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4" i="6" l="1"/>
  <c r="H92" i="6"/>
  <c r="B92" i="6"/>
  <c r="B90" i="6"/>
  <c r="B88" i="6"/>
  <c r="B86" i="6"/>
  <c r="B84" i="6"/>
  <c r="K82" i="6"/>
  <c r="H82" i="6"/>
  <c r="B82" i="6"/>
  <c r="K80" i="6"/>
  <c r="H80" i="6"/>
  <c r="B80" i="6"/>
  <c r="K78" i="6"/>
  <c r="H78" i="6"/>
  <c r="B78" i="6"/>
  <c r="B76" i="6"/>
  <c r="I74" i="6"/>
  <c r="F74" i="6"/>
  <c r="B72" i="6"/>
  <c r="K70" i="6"/>
  <c r="H70" i="6"/>
  <c r="B70" i="6"/>
  <c r="K68" i="6"/>
  <c r="J68" i="6"/>
  <c r="H68" i="6"/>
  <c r="B68" i="6"/>
  <c r="K66" i="6"/>
  <c r="H66" i="6"/>
  <c r="G66" i="6"/>
  <c r="B66" i="6"/>
  <c r="J64" i="6"/>
  <c r="J66" i="6" s="1"/>
  <c r="B63" i="6"/>
  <c r="B61" i="6"/>
  <c r="I59" i="6"/>
  <c r="F59" i="6"/>
  <c r="B57" i="6"/>
  <c r="K55" i="6"/>
  <c r="B55" i="6"/>
  <c r="K53" i="6"/>
  <c r="J53" i="6"/>
  <c r="B53" i="6"/>
  <c r="B51" i="6"/>
  <c r="K49" i="6"/>
  <c r="J49" i="6"/>
  <c r="J76" i="6" s="1"/>
  <c r="J84" i="6" s="1"/>
  <c r="J86" i="6" s="1"/>
  <c r="B49" i="6"/>
  <c r="B47" i="6"/>
  <c r="B45" i="6"/>
  <c r="K43" i="6"/>
  <c r="J43" i="6"/>
  <c r="B43" i="6"/>
  <c r="K41" i="6"/>
  <c r="B41" i="6"/>
  <c r="K39" i="6"/>
  <c r="B39" i="6"/>
  <c r="K37" i="6"/>
  <c r="B37" i="6"/>
  <c r="K35" i="6"/>
  <c r="B35" i="6"/>
  <c r="K33" i="6"/>
  <c r="B33" i="6"/>
  <c r="K31" i="6"/>
  <c r="B31" i="6"/>
  <c r="B29" i="6"/>
  <c r="B27" i="6"/>
  <c r="B25" i="6"/>
  <c r="K23" i="6"/>
  <c r="J23" i="6"/>
  <c r="B23" i="6"/>
  <c r="K21" i="6"/>
  <c r="J21" i="6"/>
  <c r="B21" i="6"/>
  <c r="K19" i="6"/>
  <c r="B19" i="6"/>
  <c r="B17" i="6"/>
  <c r="B15" i="6"/>
  <c r="B13" i="6"/>
  <c r="K11" i="6"/>
  <c r="J11" i="6"/>
  <c r="B11" i="6"/>
  <c r="B9" i="6"/>
  <c r="B7" i="6"/>
  <c r="B5" i="6"/>
  <c r="B3" i="6"/>
  <c r="E1" i="6"/>
  <c r="H92" i="5"/>
  <c r="B92" i="5"/>
  <c r="B82" i="5"/>
  <c r="G16" i="3"/>
  <c r="J23" i="5"/>
  <c r="J21" i="5" s="1"/>
  <c r="G17" i="3"/>
  <c r="I74" i="5"/>
  <c r="F74" i="5"/>
  <c r="K19" i="5"/>
  <c r="K11" i="5"/>
  <c r="K49" i="5"/>
  <c r="B55" i="5"/>
  <c r="K55" i="5"/>
  <c r="K53" i="5"/>
  <c r="J53" i="5"/>
  <c r="J49" i="5"/>
  <c r="C17" i="3"/>
  <c r="C16" i="3"/>
  <c r="B53" i="5"/>
  <c r="B51" i="5"/>
  <c r="B47" i="5"/>
  <c r="B49" i="5"/>
  <c r="B45" i="5"/>
  <c r="B3" i="5"/>
  <c r="G66" i="5"/>
  <c r="A94" i="5"/>
  <c r="B90" i="5"/>
  <c r="B88" i="5"/>
  <c r="B86" i="5"/>
  <c r="B84" i="5"/>
  <c r="K82" i="5"/>
  <c r="H82" i="5"/>
  <c r="K80" i="5"/>
  <c r="H80" i="5"/>
  <c r="B80" i="5"/>
  <c r="K78" i="5"/>
  <c r="H78" i="5"/>
  <c r="B78" i="5"/>
  <c r="B76" i="5"/>
  <c r="B72" i="5"/>
  <c r="B27" i="5"/>
  <c r="B25" i="5"/>
  <c r="K43" i="5"/>
  <c r="J43" i="5"/>
  <c r="B43" i="5"/>
  <c r="K41" i="5"/>
  <c r="B41" i="5"/>
  <c r="K39" i="5"/>
  <c r="B39" i="5"/>
  <c r="K37" i="5"/>
  <c r="B37" i="5"/>
  <c r="K35" i="5"/>
  <c r="B35" i="5"/>
  <c r="K33" i="5"/>
  <c r="B33" i="5"/>
  <c r="K31" i="5"/>
  <c r="B31" i="5"/>
  <c r="B29" i="5"/>
  <c r="K23" i="5"/>
  <c r="B23" i="5"/>
  <c r="K21" i="5"/>
  <c r="B21" i="5"/>
  <c r="B19" i="5"/>
  <c r="B17" i="5"/>
  <c r="B15" i="5"/>
  <c r="K70" i="5"/>
  <c r="H70" i="5"/>
  <c r="B70" i="5"/>
  <c r="K68" i="5"/>
  <c r="J68" i="5"/>
  <c r="H68" i="5"/>
  <c r="B68" i="5"/>
  <c r="K66" i="5"/>
  <c r="H66" i="5"/>
  <c r="B66" i="5"/>
  <c r="J64" i="5"/>
  <c r="J66" i="5" s="1"/>
  <c r="B63" i="5"/>
  <c r="B61" i="5"/>
  <c r="I59" i="5"/>
  <c r="F59" i="5"/>
  <c r="B57" i="5"/>
  <c r="B13" i="5"/>
  <c r="J11" i="5"/>
  <c r="B11" i="5"/>
  <c r="B9" i="5"/>
  <c r="B7" i="5"/>
  <c r="B5" i="5"/>
  <c r="E1" i="5"/>
  <c r="B12" i="3"/>
  <c r="B9" i="3"/>
  <c r="A2" i="3"/>
  <c r="D16" i="3"/>
  <c r="D17" i="3"/>
  <c r="D18" i="3"/>
  <c r="D19" i="3"/>
  <c r="G76" i="6" l="1"/>
  <c r="G84" i="6" s="1"/>
  <c r="G86" i="6" s="1"/>
  <c r="J82" i="6"/>
  <c r="J80" i="6" s="1"/>
  <c r="J78" i="6" s="1"/>
  <c r="J55" i="6"/>
  <c r="G82" i="6"/>
  <c r="G80" i="6" s="1"/>
  <c r="G88" i="6" s="1"/>
  <c r="J82" i="5"/>
  <c r="G82" i="5"/>
  <c r="G76" i="5"/>
  <c r="G84" i="5" s="1"/>
  <c r="G86" i="5" s="1"/>
  <c r="J76" i="5"/>
  <c r="J84" i="5" s="1"/>
  <c r="J55" i="5"/>
  <c r="J88" i="6" l="1"/>
  <c r="J92" i="6" s="1"/>
  <c r="G78" i="6"/>
  <c r="J80" i="5"/>
  <c r="G80" i="5"/>
  <c r="G88" i="5" s="1"/>
  <c r="J86" i="5"/>
  <c r="G92" i="6" l="1"/>
  <c r="J78" i="5"/>
  <c r="J88" i="5"/>
  <c r="J92" i="5" s="1"/>
  <c r="G78" i="5"/>
  <c r="G92" i="5" l="1"/>
</calcChain>
</file>

<file path=xl/sharedStrings.xml><?xml version="1.0" encoding="utf-8"?>
<sst xmlns="http://schemas.openxmlformats.org/spreadsheetml/2006/main" count="55" uniqueCount="13">
  <si>
    <t xml:space="preserve">Fakten: </t>
  </si>
  <si>
    <t>Deutsch</t>
  </si>
  <si>
    <t>English</t>
  </si>
  <si>
    <t xml:space="preserve"> g/cm³</t>
  </si>
  <si>
    <t xml:space="preserve"> kg</t>
  </si>
  <si>
    <t xml:space="preserve"> mm</t>
  </si>
  <si>
    <t xml:space="preserve"> Euro</t>
  </si>
  <si>
    <t xml:space="preserve"> Euro/kg</t>
  </si>
  <si>
    <t xml:space="preserve"> kg/h</t>
  </si>
  <si>
    <t>flache Schmelzplatte 6 mm (25 kg/h)</t>
  </si>
  <si>
    <t>Klebstoffspiegel bis Fassoberkante:</t>
  </si>
  <si>
    <t>bei neuer Befüllhöhe</t>
  </si>
  <si>
    <t>With new filling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</si>
</sst>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00"/>
    <numFmt numFmtId="165" formatCode="0.0"/>
    <numFmt numFmtId="166" formatCode="0.00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sz val="2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20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165" fontId="0" fillId="2" borderId="4" xfId="0" applyNumberFormat="1" applyFill="1" applyBorder="1" applyAlignment="1" applyProtection="1">
      <alignment horizontal="center"/>
      <protection locked="0"/>
    </xf>
    <xf numFmtId="44" fontId="0" fillId="0" borderId="0" xfId="1" applyFont="1" applyProtection="1"/>
    <xf numFmtId="2" fontId="0" fillId="2" borderId="4" xfId="0" applyNumberFormat="1" applyFill="1" applyBorder="1" applyAlignment="1" applyProtection="1">
      <alignment horizontal="center"/>
      <protection locked="0"/>
    </xf>
    <xf numFmtId="166" fontId="0" fillId="2" borderId="4" xfId="0" applyNumberFormat="1" applyFill="1" applyBorder="1" applyAlignment="1" applyProtection="1">
      <alignment horizontal="center"/>
      <protection locked="0"/>
    </xf>
    <xf numFmtId="0" fontId="5" fillId="0" borderId="0" xfId="0" applyFont="1"/>
    <xf numFmtId="1" fontId="0" fillId="2" borderId="4" xfId="0" applyNumberForma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0" fillId="8" borderId="0" xfId="0" applyFill="1" applyAlignment="1">
      <alignment horizontal="center"/>
    </xf>
    <xf numFmtId="0" fontId="12" fillId="8" borderId="6" xfId="2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44" fontId="5" fillId="0" borderId="0" xfId="1" applyFont="1" applyProtection="1"/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</xf>
    <xf numFmtId="0" fontId="3" fillId="8" borderId="6" xfId="0" applyFont="1" applyFill="1" applyBorder="1" applyAlignment="1" applyProtection="1">
      <alignment horizontal="center" vertical="center"/>
    </xf>
    <xf numFmtId="0" fontId="11" fillId="8" borderId="6" xfId="0" applyFont="1" applyFill="1" applyBorder="1" applyAlignment="1" applyProtection="1">
      <alignment horizontal="center" vertical="center"/>
    </xf>
    <xf numFmtId="0" fontId="11" fillId="8" borderId="7" xfId="0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0" fillId="0" borderId="0" xfId="0" applyProtection="1"/>
    <xf numFmtId="0" fontId="0" fillId="0" borderId="8" xfId="0" applyBorder="1" applyProtection="1"/>
    <xf numFmtId="0" fontId="0" fillId="0" borderId="0" xfId="0" applyAlignment="1" applyProtection="1">
      <alignment horizontal="right"/>
    </xf>
    <xf numFmtId="0" fontId="0" fillId="0" borderId="9" xfId="0" applyBorder="1" applyProtection="1"/>
    <xf numFmtId="0" fontId="6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4" fillId="4" borderId="1" xfId="0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left"/>
    </xf>
    <xf numFmtId="2" fontId="0" fillId="3" borderId="4" xfId="0" applyNumberFormat="1" applyFill="1" applyBorder="1" applyAlignment="1" applyProtection="1">
      <alignment horizontal="center"/>
    </xf>
    <xf numFmtId="0" fontId="7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0" fillId="0" borderId="4" xfId="0" applyBorder="1" applyProtection="1"/>
    <xf numFmtId="0" fontId="2" fillId="0" borderId="0" xfId="0" applyFont="1" applyAlignment="1" applyProtection="1">
      <alignment horizontal="left" vertical="center"/>
    </xf>
    <xf numFmtId="2" fontId="0" fillId="6" borderId="4" xfId="0" applyNumberForma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left" vertical="center" wrapText="1"/>
    </xf>
    <xf numFmtId="1" fontId="0" fillId="3" borderId="4" xfId="0" applyNumberForma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 wrapText="1"/>
    </xf>
    <xf numFmtId="164" fontId="5" fillId="0" borderId="0" xfId="0" applyNumberFormat="1" applyFont="1" applyProtection="1"/>
    <xf numFmtId="3" fontId="0" fillId="3" borderId="4" xfId="0" applyNumberFormat="1" applyFill="1" applyBorder="1" applyAlignment="1" applyProtection="1">
      <alignment horizontal="center"/>
    </xf>
    <xf numFmtId="3" fontId="2" fillId="5" borderId="4" xfId="0" applyNumberFormat="1" applyFont="1" applyFill="1" applyBorder="1" applyAlignment="1" applyProtection="1">
      <alignment horizontal="center"/>
    </xf>
    <xf numFmtId="0" fontId="0" fillId="0" borderId="10" xfId="0" applyBorder="1" applyProtection="1"/>
    <xf numFmtId="0" fontId="0" fillId="0" borderId="11" xfId="0" applyBorder="1" applyAlignment="1" applyProtection="1">
      <alignment horizontal="right"/>
    </xf>
    <xf numFmtId="0" fontId="0" fillId="0" borderId="11" xfId="0" applyBorder="1" applyProtection="1"/>
    <xf numFmtId="0" fontId="0" fillId="0" borderId="12" xfId="0" applyBorder="1" applyProtection="1"/>
    <xf numFmtId="0" fontId="0" fillId="0" borderId="0" xfId="0" applyAlignment="1" applyProtection="1">
      <alignment vertical="center"/>
    </xf>
    <xf numFmtId="0" fontId="10" fillId="0" borderId="0" xfId="0" applyFont="1" applyProtection="1"/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347232</xdr:colOff>
      <xdr:row>0</xdr:row>
      <xdr:rowOff>0</xdr:rowOff>
    </xdr:from>
    <xdr:to>
      <xdr:col>2</xdr:col>
      <xdr:colOff>626921</xdr:colOff>
      <xdr:row>0</xdr:row>
      <xdr:rowOff>746934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4B960D2-8318-4D30-A022-1D317606D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232" y="0"/>
          <a:ext cx="1976871" cy="7469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164525</xdr:colOff>
      <xdr:row>0</xdr:row>
      <xdr:rowOff>2</xdr:rowOff>
    </xdr:from>
    <xdr:to>
      <xdr:col>3</xdr:col>
      <xdr:colOff>576698</xdr:colOff>
      <xdr:row>0</xdr:row>
      <xdr:rowOff>746936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78FAE9B-AC40-43F0-BC03-2B18D7CD5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500" y="2"/>
          <a:ext cx="1974273" cy="7469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164525</xdr:colOff>
      <xdr:row>0</xdr:row>
      <xdr:rowOff>2</xdr:rowOff>
    </xdr:from>
    <xdr:to>
      <xdr:col>3</xdr:col>
      <xdr:colOff>576698</xdr:colOff>
      <xdr:row>0</xdr:row>
      <xdr:rowOff>746936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6C9935C-81BE-42DF-9E69-B004BBABA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500" y="2"/>
          <a:ext cx="1974273" cy="746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29B87-F02D-4FC3-AD55-031979E2C8F7}">
  <sheetPr>
    <pageSetUpPr fitToPage="1"/>
  </sheetPr>
  <dimension ref="A1:AG82"/>
  <sheetViews>
    <sheetView showGridLines="0" showRowColHeaders="0" tabSelected="1" zoomScaleNormal="100" workbookViewId="0">
      <selection activeCell="D5" sqref="D5:G5"/>
    </sheetView>
  </sheetViews>
  <sheetFormatPr baseColWidth="10" defaultRowHeight="15" x14ac:dyDescent="0.25"/>
  <cols>
    <col min="1" max="10" width="12.7109375" customWidth="1"/>
    <col min="11" max="33" width="11.42578125" style="5"/>
  </cols>
  <sheetData>
    <row r="1" spans="1:10" ht="60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0" ht="84.75" customHeight="1" x14ac:dyDescent="0.25">
      <c r="A2" s="8" t="str">
        <f>IF(D5="Deutsch","Ersparnisrechner / Klebstoff-Prozessnebenkosten","Savings calculator / Adhesive process costs")</f>
        <v>Ersparnisrechner / Klebstoff-Prozessnebenkosten</v>
      </c>
      <c r="B2" s="8"/>
      <c r="C2" s="8"/>
      <c r="D2" s="8"/>
      <c r="E2" s="8"/>
      <c r="F2" s="8"/>
      <c r="G2" s="8"/>
      <c r="H2" s="8"/>
      <c r="I2" s="8"/>
      <c r="J2" s="8"/>
    </row>
    <row r="5" spans="1:10" ht="60" customHeight="1" x14ac:dyDescent="0.25">
      <c r="D5" s="9" t="s">
        <v>1</v>
      </c>
      <c r="E5" s="10"/>
      <c r="F5" s="10"/>
      <c r="G5" s="11"/>
    </row>
    <row r="9" spans="1:10" ht="60" customHeight="1" x14ac:dyDescent="0.25">
      <c r="B9" s="12" t="str">
        <f>IF(D5="Deutsch","weiter zur verkürzten Version…","continue to abreviated version...")</f>
        <v>weiter zur verkürzten Version…</v>
      </c>
      <c r="C9" s="13"/>
      <c r="D9" s="13"/>
      <c r="E9" s="13"/>
      <c r="F9" s="13"/>
      <c r="G9" s="13"/>
      <c r="H9" s="13"/>
      <c r="I9" s="14"/>
    </row>
    <row r="12" spans="1:10" ht="60" customHeight="1" x14ac:dyDescent="0.25">
      <c r="B12" s="12" t="str">
        <f>IF(D5="Deutsch","weiter zur ausführlichen Version…","continue to extended version...")</f>
        <v>weiter zur ausführlichen Version…</v>
      </c>
      <c r="C12" s="13"/>
      <c r="D12" s="13"/>
      <c r="E12" s="13"/>
      <c r="F12" s="13"/>
      <c r="G12" s="13"/>
      <c r="H12" s="13"/>
      <c r="I12" s="14"/>
    </row>
    <row r="13" spans="1:10" s="5" customFormat="1" x14ac:dyDescent="0.25"/>
    <row r="14" spans="1:10" s="5" customFormat="1" x14ac:dyDescent="0.25"/>
    <row r="15" spans="1:10" s="5" customFormat="1" x14ac:dyDescent="0.25"/>
    <row r="16" spans="1:10" s="5" customFormat="1" hidden="1" x14ac:dyDescent="0.25">
      <c r="B16" s="5" t="s">
        <v>1</v>
      </c>
      <c r="C16" s="7" t="str">
        <f>IF(Start!D5="Deutsch","Boden bis Klebstoffspiegel:","Floor to adhesive level:")</f>
        <v>Boden bis Klebstoffspiegel:</v>
      </c>
      <c r="D16" s="5" t="str">
        <f>IF(Start!D5="Deutsch","flache Schmelzplatte 6 mm (25 kg/h)","Flat melting plate 6 mm (25 kg/h)")</f>
        <v>flache Schmelzplatte 6 mm (25 kg/h)</v>
      </c>
      <c r="E16" s="5">
        <v>0.6</v>
      </c>
      <c r="F16" s="5">
        <v>50</v>
      </c>
      <c r="G16" s="5" t="str">
        <f>IF(Start!D5="Deutsch","bei aktueller Befüllhöhe","With current filling level")</f>
        <v>bei aktueller Befüllhöhe</v>
      </c>
    </row>
    <row r="17" spans="2:7" s="5" customFormat="1" hidden="1" x14ac:dyDescent="0.25">
      <c r="B17" s="5" t="s">
        <v>2</v>
      </c>
      <c r="C17" s="7" t="str">
        <f>IF(Start!D5="Deutsch","Klebstoffspiegel bis Fassoberkante:","Adhesive level to top of the drum:")</f>
        <v>Klebstoffspiegel bis Fassoberkante:</v>
      </c>
      <c r="D17" s="5" t="str">
        <f>IF(Start!D5="Deutsch","Rippen-Schmelzplatte 15 mm (100 kg/h)","Grit melting plate 15 mm (100 kg/h)")</f>
        <v>Rippen-Schmelzplatte 15 mm (100 kg/h)</v>
      </c>
      <c r="E17" s="5">
        <v>1.7</v>
      </c>
      <c r="F17" s="5">
        <v>50</v>
      </c>
      <c r="G17" s="5" t="str">
        <f>IF(Start!D5="Deutsch","bei neuer Befüllhöhe","With new filling level")</f>
        <v>bei neuer Befüllhöhe</v>
      </c>
    </row>
    <row r="18" spans="2:7" s="5" customFormat="1" hidden="1" x14ac:dyDescent="0.25">
      <c r="D18" s="5" t="str">
        <f>IF(Start!D5="Deutsch","Rippen-Schmelzplatte 27 mm (150 kg/h)","Grit melting plate 27 mm (150 kg/h)")</f>
        <v>Rippen-Schmelzplatte 27 mm (150 kg/h)</v>
      </c>
      <c r="E18" s="5">
        <v>2.4</v>
      </c>
      <c r="F18" s="5">
        <v>50</v>
      </c>
    </row>
    <row r="19" spans="2:7" s="5" customFormat="1" hidden="1" x14ac:dyDescent="0.25">
      <c r="D19" s="5" t="str">
        <f>IF(Start!D5="Deutsch","Rippen-Schmelzplatte 40 mm (250 kg/h)","Grit melting plate 40 mm (250 kg/h)")</f>
        <v>Rippen-Schmelzplatte 40 mm (250 kg/h)</v>
      </c>
      <c r="E19" s="5">
        <v>4.2</v>
      </c>
      <c r="F19" s="5">
        <v>50</v>
      </c>
    </row>
    <row r="20" spans="2:7" s="5" customFormat="1" hidden="1" x14ac:dyDescent="0.25">
      <c r="E20" s="5">
        <v>10</v>
      </c>
      <c r="F20" s="5">
        <v>165</v>
      </c>
    </row>
    <row r="21" spans="2:7" s="5" customFormat="1" x14ac:dyDescent="0.25"/>
    <row r="22" spans="2:7" s="5" customFormat="1" x14ac:dyDescent="0.25"/>
    <row r="23" spans="2:7" s="5" customFormat="1" x14ac:dyDescent="0.25"/>
    <row r="24" spans="2:7" s="5" customFormat="1" x14ac:dyDescent="0.25"/>
    <row r="25" spans="2:7" s="5" customFormat="1" x14ac:dyDescent="0.25"/>
    <row r="26" spans="2:7" s="5" customFormat="1" x14ac:dyDescent="0.25"/>
    <row r="27" spans="2:7" s="5" customFormat="1" x14ac:dyDescent="0.25"/>
    <row r="28" spans="2:7" s="5" customFormat="1" x14ac:dyDescent="0.25"/>
    <row r="29" spans="2:7" s="5" customFormat="1" x14ac:dyDescent="0.25"/>
    <row r="30" spans="2:7" s="5" customFormat="1" x14ac:dyDescent="0.25"/>
    <row r="31" spans="2:7" s="5" customFormat="1" x14ac:dyDescent="0.25"/>
    <row r="32" spans="2:7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</sheetData>
  <sheetProtection algorithmName="SHA-512" hashValue="DOzjGRBWQN1HzJy2SpmAaelNhWWKYjcqWWPTzSJRZpeRlDIMPOZaDjKR08X1oEu7VTOwitDe0rA9u7Gjo4gX2g==" saltValue="PXI5Kw/Yk2YUIGwkBP5s8A==" spinCount="100000" sheet="1" objects="1" scenarios="1" selectLockedCells="1"/>
  <mergeCells count="5">
    <mergeCell ref="A2:J2"/>
    <mergeCell ref="D5:G5"/>
    <mergeCell ref="B12:I12"/>
    <mergeCell ref="B9:I9"/>
    <mergeCell ref="A1:J1"/>
  </mergeCells>
  <dataValidations count="1">
    <dataValidation type="list" allowBlank="1" showInputMessage="1" showErrorMessage="1" sqref="D5" xr:uid="{8E429637-54F6-4148-A90A-F9ED83CB0022}">
      <formula1>$B$16:$B$17</formula1>
    </dataValidation>
  </dataValidations>
  <hyperlinks>
    <hyperlink ref="B9:I9" location="'Ersparnisrechner kurz'!I23" display="'Ersparnisrechner kurz'!I23" xr:uid="{F68E9BB0-FD01-442D-AABB-C0D7DD484A17}"/>
    <hyperlink ref="B12:I12" location="'Ersparnisrechner lang'!J5" display="'Ersparnisrechner lang'!J5" xr:uid="{397124CF-8884-4E46-90C8-01DFE446197F}"/>
  </hyperlinks>
  <pageMargins left="0.70866141732283472" right="0.70866141732283472" top="0.78740157480314965" bottom="0.78740157480314965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B11D3-7B1F-4A4A-BC56-91FA1DB49890}">
  <sheetPr>
    <outlinePr summaryBelow="0"/>
    <pageSetUpPr autoPageBreaks="0" fitToPage="1"/>
  </sheetPr>
  <dimension ref="A1:AC97"/>
  <sheetViews>
    <sheetView showGridLines="0" showRowColHeaders="0" zoomScaleNormal="100" workbookViewId="0">
      <selection activeCell="I61" sqref="I61:K61"/>
    </sheetView>
  </sheetViews>
  <sheetFormatPr baseColWidth="10" defaultColWidth="11.42578125" defaultRowHeight="15" x14ac:dyDescent="0.25"/>
  <cols>
    <col min="1" max="1" width="2.7109375" style="32" customWidth="1"/>
    <col min="2" max="2" width="11.7109375" style="34" customWidth="1"/>
    <col min="3" max="11" width="11.7109375" style="32" customWidth="1"/>
    <col min="12" max="12" width="2.7109375" style="32" customWidth="1"/>
    <col min="13" max="16" width="11.42578125" style="32"/>
    <col min="17" max="17" width="51.5703125" style="32" bestFit="1" customWidth="1"/>
    <col min="18" max="18" width="26.85546875" style="32" bestFit="1" customWidth="1"/>
    <col min="19" max="20" width="11.42578125" style="32"/>
    <col min="21" max="21" width="34.7109375" style="32" bestFit="1" customWidth="1"/>
    <col min="22" max="16384" width="11.42578125" style="32"/>
  </cols>
  <sheetData>
    <row r="1" spans="1:29" ht="60" customHeight="1" x14ac:dyDescent="0.25">
      <c r="A1" s="27"/>
      <c r="B1" s="28"/>
      <c r="C1" s="28"/>
      <c r="D1" s="28"/>
      <c r="E1" s="29" t="str">
        <f>IF(Start!D5="Deutsch","Ersparnisrechner / Klebstoff-Prozessnebenkosten","Savings calculator / Adhesive process costs")</f>
        <v>Ersparnisrechner / Klebstoff-Prozessnebenkosten</v>
      </c>
      <c r="F1" s="29"/>
      <c r="G1" s="29"/>
      <c r="H1" s="29"/>
      <c r="I1" s="29"/>
      <c r="J1" s="29"/>
      <c r="K1" s="29"/>
      <c r="L1" s="30"/>
      <c r="M1" s="31"/>
      <c r="N1" s="31"/>
      <c r="O1" s="31"/>
      <c r="P1" s="31"/>
      <c r="Q1" s="31"/>
      <c r="R1" s="31"/>
      <c r="S1" s="31"/>
      <c r="V1" s="31"/>
      <c r="W1" s="31"/>
      <c r="AA1" s="31"/>
      <c r="AB1" s="31"/>
      <c r="AC1" s="31"/>
    </row>
    <row r="2" spans="1:29" ht="15" customHeight="1" x14ac:dyDescent="0.25">
      <c r="A2" s="33"/>
      <c r="L2" s="35"/>
      <c r="M2" s="31"/>
      <c r="N2" s="36"/>
      <c r="O2" s="37"/>
      <c r="P2" s="31"/>
      <c r="Q2" s="31"/>
      <c r="R2" s="31"/>
      <c r="S2" s="31"/>
      <c r="V2" s="31"/>
      <c r="W2" s="31"/>
      <c r="AA2" s="31"/>
      <c r="AB2" s="31"/>
      <c r="AC2" s="31"/>
    </row>
    <row r="3" spans="1:29" ht="18.75" hidden="1" x14ac:dyDescent="0.3">
      <c r="A3" s="33"/>
      <c r="B3" s="38" t="str">
        <f>IF(Start!D5="Deutsch","Gebinde- bzw. Materialdaten","Container and adhesive data")</f>
        <v>Gebinde- bzw. Materialdaten</v>
      </c>
      <c r="C3" s="39" t="s">
        <v>0</v>
      </c>
      <c r="D3" s="39"/>
      <c r="E3" s="39"/>
      <c r="F3" s="39"/>
      <c r="G3" s="39"/>
      <c r="H3" s="39"/>
      <c r="I3" s="39"/>
      <c r="J3" s="39"/>
      <c r="K3" s="40"/>
      <c r="L3" s="35"/>
      <c r="M3" s="31"/>
      <c r="N3" s="36"/>
      <c r="O3" s="31"/>
      <c r="P3" s="31"/>
      <c r="Q3" s="31"/>
      <c r="R3" s="31"/>
      <c r="S3" s="31"/>
      <c r="V3" s="31"/>
      <c r="W3" s="31"/>
      <c r="Z3" s="31"/>
      <c r="AA3" s="31"/>
      <c r="AB3" s="31"/>
      <c r="AC3" s="31"/>
    </row>
    <row r="4" spans="1:29" ht="9.9499999999999993" hidden="1" customHeight="1" x14ac:dyDescent="0.25">
      <c r="A4" s="33"/>
      <c r="L4" s="35"/>
      <c r="M4" s="31"/>
      <c r="N4" s="31"/>
      <c r="O4" s="31"/>
      <c r="P4" s="31"/>
      <c r="Q4" s="31"/>
      <c r="R4" s="31"/>
      <c r="S4" s="31"/>
      <c r="V4" s="31"/>
      <c r="W4" s="31"/>
      <c r="Z4" s="31"/>
      <c r="AA4" s="31"/>
      <c r="AB4" s="31"/>
      <c r="AC4" s="31"/>
    </row>
    <row r="5" spans="1:29" hidden="1" x14ac:dyDescent="0.25">
      <c r="A5" s="33"/>
      <c r="B5" s="41" t="str">
        <f>IF(Start!D5="Deutsch","Fass-Innendurchmesser:","Drum inner diameter:")</f>
        <v>Fass-Innendurchmesser:</v>
      </c>
      <c r="J5" s="6">
        <v>571</v>
      </c>
      <c r="K5" s="32" t="s">
        <v>5</v>
      </c>
      <c r="L5" s="35"/>
      <c r="M5" s="31"/>
      <c r="N5" s="31"/>
      <c r="O5" s="31"/>
      <c r="P5" s="31"/>
      <c r="Q5" s="31"/>
      <c r="R5" s="31"/>
      <c r="S5" s="31"/>
      <c r="V5" s="31"/>
      <c r="W5" s="31"/>
    </row>
    <row r="6" spans="1:29" ht="5.0999999999999996" hidden="1" customHeight="1" x14ac:dyDescent="0.25">
      <c r="A6" s="33"/>
      <c r="B6" s="42"/>
      <c r="L6" s="35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spans="1:29" ht="15" hidden="1" customHeight="1" x14ac:dyDescent="0.25">
      <c r="A7" s="33"/>
      <c r="B7" s="41" t="str">
        <f>IF(Start!D5="Deutsch","Fasshöhe - Gesamthöhe bis zur Fassoberkante:","Drum height - total height to the top of the drum:")</f>
        <v>Fasshöhe - Gesamthöhe bis zur Fassoberkante:</v>
      </c>
      <c r="J7" s="6">
        <v>895</v>
      </c>
      <c r="K7" s="32" t="s">
        <v>5</v>
      </c>
      <c r="L7" s="35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9" ht="5.0999999999999996" hidden="1" customHeight="1" x14ac:dyDescent="0.25">
      <c r="A8" s="33"/>
      <c r="L8" s="35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spans="1:29" hidden="1" x14ac:dyDescent="0.25">
      <c r="A9" s="33"/>
      <c r="B9" s="42" t="str">
        <f>IF(Start!D5="Deutsch","Inhaltsverlust durch Fassbodenhöhe (konstruktiv):","Loss of content due to drum bottom height (structural):")</f>
        <v>Inhaltsverlust durch Fassbodenhöhe (konstruktiv):</v>
      </c>
      <c r="J9" s="6">
        <v>10</v>
      </c>
      <c r="K9" s="32" t="s">
        <v>5</v>
      </c>
      <c r="L9" s="35"/>
      <c r="M9" s="31"/>
      <c r="N9" s="31"/>
      <c r="O9" s="31"/>
      <c r="P9" s="31"/>
      <c r="Q9" s="31"/>
      <c r="R9" s="31"/>
      <c r="S9" s="31"/>
      <c r="T9" s="31"/>
      <c r="U9" s="31"/>
      <c r="V9" s="31"/>
    </row>
    <row r="10" spans="1:29" ht="5.0999999999999996" hidden="1" customHeight="1" x14ac:dyDescent="0.25">
      <c r="A10" s="33"/>
      <c r="B10" s="42"/>
      <c r="L10" s="35"/>
      <c r="M10" s="31"/>
      <c r="N10" s="31"/>
      <c r="O10" s="31"/>
      <c r="P10" s="31"/>
      <c r="Q10" s="31"/>
      <c r="R10" s="31"/>
      <c r="S10" s="31"/>
      <c r="T10" s="31"/>
      <c r="U10" s="31"/>
    </row>
    <row r="11" spans="1:29" hidden="1" x14ac:dyDescent="0.25">
      <c r="A11" s="33"/>
      <c r="B11" s="41" t="str">
        <f>IF(Start!D5="Deutsch","Gesamt-Fassungsvermögen (Fassvolumen):","Total capacity (drum volume):")</f>
        <v>Gesamt-Fassungsvermögen (Fassvolumen):</v>
      </c>
      <c r="J11" s="43">
        <f>IF(OR(J5="",J7="",J9=""),"",((J5/200)*(J5/200)*3.14159)*((J7-J9)/100))</f>
        <v>226.62353087328751</v>
      </c>
      <c r="K11" s="32" t="str">
        <f>IF(Start!D5="Deutsch"," Liter"," liter")</f>
        <v xml:space="preserve"> Liter</v>
      </c>
      <c r="L11" s="35"/>
      <c r="M11" s="31"/>
      <c r="N11" s="31"/>
      <c r="O11" s="31"/>
      <c r="P11" s="31"/>
      <c r="Q11" s="31"/>
      <c r="R11" s="31"/>
      <c r="S11" s="31"/>
      <c r="T11" s="31"/>
      <c r="U11" s="31"/>
    </row>
    <row r="12" spans="1:29" ht="15" hidden="1" customHeight="1" x14ac:dyDescent="0.25">
      <c r="A12" s="33"/>
      <c r="L12" s="35"/>
      <c r="M12" s="31"/>
      <c r="N12" s="31"/>
      <c r="O12" s="31"/>
      <c r="P12" s="31"/>
      <c r="Q12" s="31"/>
      <c r="R12" s="31"/>
      <c r="S12" s="31"/>
      <c r="T12" s="31"/>
      <c r="U12" s="31"/>
    </row>
    <row r="13" spans="1:29" ht="15" hidden="1" customHeight="1" x14ac:dyDescent="0.25">
      <c r="A13" s="33"/>
      <c r="B13" s="41" t="str">
        <f>IF(Start!D5="Deutsch","Klebstoffdichte:","Adhesive density:")</f>
        <v>Klebstoffdichte:</v>
      </c>
      <c r="J13" s="4">
        <v>1</v>
      </c>
      <c r="K13" s="32" t="s">
        <v>3</v>
      </c>
      <c r="L13" s="35"/>
      <c r="M13" s="31"/>
      <c r="N13" s="31"/>
      <c r="O13" s="31"/>
      <c r="P13" s="31"/>
      <c r="Q13" s="31"/>
      <c r="R13" s="31"/>
      <c r="S13" s="31"/>
      <c r="T13" s="31"/>
      <c r="U13" s="31"/>
    </row>
    <row r="14" spans="1:29" ht="9.9499999999999993" hidden="1" customHeight="1" x14ac:dyDescent="0.25">
      <c r="A14" s="33"/>
      <c r="L14" s="35"/>
      <c r="M14" s="31"/>
      <c r="N14" s="31"/>
      <c r="O14" s="31"/>
      <c r="P14" s="31"/>
      <c r="Q14" s="31"/>
      <c r="R14" s="31"/>
      <c r="S14" s="31"/>
      <c r="T14" s="31"/>
      <c r="U14" s="31"/>
    </row>
    <row r="15" spans="1:29" ht="18.75" x14ac:dyDescent="0.3">
      <c r="A15" s="33"/>
      <c r="B15" s="38" t="str">
        <f>IF(Start!D5="Deutsch","Durchschnittlicher Klebstoffbedarf im Prozess","Average adhesive requirement in the process")</f>
        <v>Durchschnittlicher Klebstoffbedarf im Prozess</v>
      </c>
      <c r="C15" s="39"/>
      <c r="D15" s="39"/>
      <c r="E15" s="39"/>
      <c r="F15" s="39"/>
      <c r="G15" s="39"/>
      <c r="H15" s="39"/>
      <c r="I15" s="39"/>
      <c r="J15" s="39"/>
      <c r="K15" s="40"/>
      <c r="L15" s="35"/>
      <c r="M15" s="31"/>
      <c r="N15" s="31"/>
      <c r="O15" s="31"/>
      <c r="P15" s="31"/>
      <c r="Q15" s="31"/>
      <c r="R15" s="31"/>
      <c r="S15" s="31"/>
      <c r="T15" s="31"/>
      <c r="U15" s="31"/>
    </row>
    <row r="16" spans="1:29" ht="9.9499999999999993" customHeight="1" x14ac:dyDescent="0.25">
      <c r="A16" s="33"/>
      <c r="L16" s="35"/>
      <c r="M16" s="31"/>
      <c r="N16" s="31"/>
      <c r="O16" s="31"/>
      <c r="P16" s="44"/>
      <c r="Q16" s="31"/>
      <c r="R16" s="31"/>
      <c r="S16" s="31"/>
      <c r="T16" s="31"/>
      <c r="U16" s="31"/>
    </row>
    <row r="17" spans="1:20" x14ac:dyDescent="0.25">
      <c r="A17" s="33"/>
      <c r="B17" s="41" t="str">
        <f>IF(Start!D5="Deutsch","Klebstoffverbrauch pro Stunde:","Adhesive consumption per hour:")</f>
        <v>Klebstoffverbrauch pro Stunde:</v>
      </c>
      <c r="J17" s="1">
        <v>100</v>
      </c>
      <c r="K17" s="32" t="s">
        <v>8</v>
      </c>
      <c r="L17" s="35"/>
      <c r="M17" s="31"/>
      <c r="N17" s="31"/>
      <c r="O17" s="31"/>
      <c r="P17" s="31"/>
      <c r="Q17" s="31"/>
      <c r="R17" s="31"/>
      <c r="S17" s="31"/>
      <c r="T17" s="2"/>
    </row>
    <row r="18" spans="1:20" ht="4.5" customHeight="1" x14ac:dyDescent="0.25">
      <c r="A18" s="33"/>
      <c r="J18" s="45"/>
      <c r="L18" s="35"/>
      <c r="M18" s="31"/>
      <c r="N18" s="31"/>
      <c r="O18" s="31"/>
      <c r="P18" s="31"/>
      <c r="Q18" s="31"/>
      <c r="R18" s="31"/>
      <c r="S18" s="31"/>
    </row>
    <row r="19" spans="1:20" x14ac:dyDescent="0.25">
      <c r="A19" s="33"/>
      <c r="B19" s="41" t="str">
        <f>IF(Start!D5="Deutsch","durchschn. Maschinen- bzw. Produktionszeit pro Woche:","Average machine or production time per week:")</f>
        <v>durchschn. Maschinen- bzw. Produktionszeit pro Woche:</v>
      </c>
      <c r="J19" s="1">
        <v>35</v>
      </c>
      <c r="K19" s="32" t="str">
        <f>IF(Start!D5="Deutsch"," h/Woche"," h/week")</f>
        <v xml:space="preserve"> h/Woche</v>
      </c>
      <c r="L19" s="35"/>
      <c r="M19" s="31"/>
      <c r="N19" s="31"/>
      <c r="O19" s="31"/>
      <c r="P19" s="44"/>
      <c r="Q19" s="31"/>
      <c r="R19" s="31"/>
      <c r="S19" s="31"/>
      <c r="T19" s="2"/>
    </row>
    <row r="20" spans="1:20" ht="4.5" hidden="1" customHeight="1" x14ac:dyDescent="0.25">
      <c r="A20" s="33"/>
      <c r="G20" s="45"/>
      <c r="I20" s="46"/>
      <c r="J20" s="46"/>
      <c r="K20" s="46"/>
      <c r="L20" s="35"/>
      <c r="M20" s="31"/>
      <c r="N20" s="31"/>
      <c r="O20" s="31"/>
      <c r="P20" s="31"/>
      <c r="Q20" s="31"/>
      <c r="R20" s="31"/>
      <c r="S20" s="31"/>
    </row>
    <row r="21" spans="1:20" hidden="1" x14ac:dyDescent="0.25">
      <c r="A21" s="33"/>
      <c r="B21" s="41" t="str">
        <f>IF(Start!D5="Deutsch","resultierender Netto-Klebstoffbedarf pro Monat:","Resulting net adhesive requirement per month:")</f>
        <v>resultierender Netto-Klebstoffbedarf pro Monat:</v>
      </c>
      <c r="J21" s="43">
        <f>IF(J23="","",J23/12)</f>
        <v>15.166666666666666</v>
      </c>
      <c r="K21" s="32" t="str">
        <f>IF(Start!D5="Deutsch"," t/Monat"," t/month")</f>
        <v xml:space="preserve"> t/Monat</v>
      </c>
      <c r="L21" s="35"/>
      <c r="M21" s="31"/>
      <c r="N21" s="31"/>
      <c r="O21" s="31"/>
      <c r="P21" s="44"/>
      <c r="Q21" s="31"/>
      <c r="R21" s="31"/>
      <c r="S21" s="31"/>
      <c r="T21" s="2"/>
    </row>
    <row r="22" spans="1:20" ht="4.5" hidden="1" customHeight="1" x14ac:dyDescent="0.25">
      <c r="A22" s="33"/>
      <c r="I22" s="46"/>
      <c r="J22" s="45"/>
      <c r="L22" s="35"/>
      <c r="M22" s="31"/>
      <c r="N22" s="31"/>
      <c r="O22" s="31"/>
      <c r="P22" s="31"/>
      <c r="Q22" s="31"/>
      <c r="R22" s="31"/>
      <c r="S22" s="31"/>
    </row>
    <row r="23" spans="1:20" hidden="1" x14ac:dyDescent="0.25">
      <c r="A23" s="33"/>
      <c r="B23" s="41" t="str">
        <f>IF(Start!D5="Deutsch","resultierender Netto-Klebstoffbedarf pro Jahr:","Resulting net adhesive requirement per year:")</f>
        <v>resultierender Netto-Klebstoffbedarf pro Jahr:</v>
      </c>
      <c r="J23" s="43">
        <f>IF(OR(J17="",J19=""),"",(J17*J19*52)/1000)</f>
        <v>182</v>
      </c>
      <c r="K23" s="32" t="str">
        <f>IF(Start!D5="Deutsch"," t/Jahr"," t/year")</f>
        <v xml:space="preserve"> t/Jahr</v>
      </c>
      <c r="L23" s="35"/>
      <c r="M23" s="31"/>
      <c r="N23" s="31"/>
      <c r="O23" s="31"/>
      <c r="P23" s="31"/>
      <c r="Q23" s="31"/>
      <c r="R23" s="31"/>
      <c r="S23" s="31"/>
      <c r="T23" s="2"/>
    </row>
    <row r="24" spans="1:20" ht="9.9499999999999993" customHeight="1" x14ac:dyDescent="0.25">
      <c r="A24" s="33"/>
      <c r="L24" s="35"/>
      <c r="M24" s="31"/>
      <c r="N24" s="31"/>
      <c r="O24" s="31"/>
      <c r="P24" s="44"/>
      <c r="Q24" s="31"/>
      <c r="R24" s="31"/>
      <c r="S24" s="31"/>
    </row>
    <row r="25" spans="1:20" ht="18.75" x14ac:dyDescent="0.3">
      <c r="A25" s="33"/>
      <c r="B25" s="38" t="str">
        <f>IF(Start!D5="Deutsch","Klebstoffpreis","Adhesive price")</f>
        <v>Klebstoffpreis</v>
      </c>
      <c r="C25" s="39"/>
      <c r="D25" s="39"/>
      <c r="E25" s="39"/>
      <c r="F25" s="39"/>
      <c r="G25" s="39"/>
      <c r="H25" s="39"/>
      <c r="I25" s="39"/>
      <c r="J25" s="39"/>
      <c r="K25" s="40"/>
      <c r="L25" s="35"/>
      <c r="M25" s="31"/>
      <c r="N25" s="31"/>
      <c r="O25" s="31"/>
      <c r="P25" s="31"/>
      <c r="Q25" s="31"/>
      <c r="R25" s="31"/>
      <c r="S25" s="31"/>
    </row>
    <row r="26" spans="1:20" ht="9.9499999999999993" customHeight="1" x14ac:dyDescent="0.25">
      <c r="A26" s="33"/>
      <c r="B26" s="41"/>
      <c r="L26" s="35"/>
      <c r="M26" s="31"/>
      <c r="N26" s="31"/>
      <c r="O26" s="31"/>
      <c r="P26" s="31"/>
      <c r="Q26" s="31"/>
      <c r="R26" s="31"/>
      <c r="S26" s="31"/>
    </row>
    <row r="27" spans="1:20" x14ac:dyDescent="0.25">
      <c r="A27" s="33"/>
      <c r="B27" s="41" t="str">
        <f>IF(Start!D5="Deutsch","Kilopreis für den eingesetzten Klebstoff:","Price per kilo for the adhesive used:")</f>
        <v>Kilopreis für den eingesetzten Klebstoff:</v>
      </c>
      <c r="J27" s="3">
        <v>5</v>
      </c>
      <c r="K27" s="32" t="s">
        <v>7</v>
      </c>
      <c r="L27" s="35"/>
      <c r="M27" s="31"/>
      <c r="N27" s="31"/>
      <c r="O27" s="31"/>
      <c r="P27" s="31"/>
      <c r="Q27" s="31"/>
      <c r="R27" s="31"/>
      <c r="S27" s="31"/>
      <c r="T27" s="2"/>
    </row>
    <row r="28" spans="1:20" ht="9.9499999999999993" customHeight="1" x14ac:dyDescent="0.25">
      <c r="A28" s="33"/>
      <c r="B28" s="41"/>
      <c r="L28" s="35"/>
      <c r="M28" s="31"/>
      <c r="N28" s="31"/>
      <c r="O28" s="31"/>
      <c r="P28" s="31"/>
      <c r="Q28" s="31"/>
      <c r="R28" s="31"/>
      <c r="S28" s="31"/>
    </row>
    <row r="29" spans="1:20" ht="18.75" x14ac:dyDescent="0.3">
      <c r="A29" s="33"/>
      <c r="B29" s="38" t="str">
        <f>IF(Start!D5="Deutsch","Kosten durch Nebenprozesse","Costs due to ancillary processes")</f>
        <v>Kosten durch Nebenprozesse</v>
      </c>
      <c r="C29" s="39"/>
      <c r="D29" s="39"/>
      <c r="E29" s="39"/>
      <c r="F29" s="39"/>
      <c r="G29" s="39"/>
      <c r="H29" s="39"/>
      <c r="I29" s="39"/>
      <c r="J29" s="39"/>
      <c r="K29" s="40"/>
      <c r="L29" s="35"/>
      <c r="M29" s="31"/>
      <c r="N29" s="31"/>
      <c r="O29" s="31"/>
      <c r="P29" s="31"/>
      <c r="Q29" s="31"/>
      <c r="R29" s="31"/>
      <c r="S29" s="31"/>
    </row>
    <row r="30" spans="1:20" ht="9.9499999999999993" customHeight="1" x14ac:dyDescent="0.25">
      <c r="A30" s="33"/>
      <c r="B30" s="41"/>
      <c r="L30" s="35"/>
      <c r="M30" s="31"/>
      <c r="N30" s="31"/>
      <c r="O30" s="31"/>
      <c r="P30" s="31"/>
      <c r="Q30" s="31"/>
      <c r="R30" s="31"/>
      <c r="S30" s="31"/>
    </row>
    <row r="31" spans="1:20" x14ac:dyDescent="0.25">
      <c r="A31" s="33"/>
      <c r="B31" s="41" t="str">
        <f>IF(Start!D5="Deutsch","Kosten für ein Leergebinde (leeres Fass):","Costs for an empty adhesive container (empty drum):")</f>
        <v>Kosten für ein Leergebinde (leeres Fass):</v>
      </c>
      <c r="J31" s="3">
        <v>40</v>
      </c>
      <c r="K31" s="32" t="str">
        <f>IF(Start!D5="Deutsch"," Euro/Fass"," Euro/drum")</f>
        <v xml:space="preserve"> Euro/Fass</v>
      </c>
      <c r="L31" s="35"/>
      <c r="M31" s="31"/>
      <c r="N31" s="31"/>
      <c r="O31" s="31"/>
      <c r="P31" s="44"/>
      <c r="Q31" s="31"/>
      <c r="R31" s="31"/>
      <c r="S31" s="31"/>
      <c r="T31" s="2"/>
    </row>
    <row r="32" spans="1:20" ht="4.5" customHeight="1" x14ac:dyDescent="0.25">
      <c r="A32" s="33"/>
      <c r="G32" s="45"/>
      <c r="I32" s="46"/>
      <c r="J32" s="46"/>
      <c r="K32" s="46"/>
      <c r="L32" s="35"/>
      <c r="M32" s="31"/>
      <c r="N32" s="31"/>
      <c r="O32" s="31"/>
      <c r="P32" s="31"/>
      <c r="Q32" s="31"/>
      <c r="R32" s="31"/>
      <c r="S32" s="31"/>
    </row>
    <row r="33" spans="1:29" x14ac:dyDescent="0.25">
      <c r="A33" s="33"/>
      <c r="B33" s="41" t="str">
        <f>IF(Start!D5="Deutsch","Entsorgungskosten für ein gebrauchtes Fass:","Disposal costs for a used drum:")</f>
        <v>Entsorgungskosten für ein gebrauchtes Fass:</v>
      </c>
      <c r="J33" s="3">
        <v>10</v>
      </c>
      <c r="K33" s="32" t="str">
        <f>IF(Start!D5="Deutsch"," Euro/Fass"," Euro/drum")</f>
        <v xml:space="preserve"> Euro/Fass</v>
      </c>
      <c r="L33" s="35"/>
      <c r="M33" s="31"/>
      <c r="N33" s="31"/>
      <c r="O33" s="31"/>
      <c r="P33" s="31"/>
      <c r="Q33" s="31"/>
      <c r="R33" s="31"/>
      <c r="S33" s="31"/>
      <c r="T33" s="2"/>
    </row>
    <row r="34" spans="1:29" ht="4.5" customHeight="1" x14ac:dyDescent="0.25">
      <c r="A34" s="33"/>
      <c r="G34" s="45"/>
      <c r="I34" s="46"/>
      <c r="J34" s="46"/>
      <c r="K34" s="46"/>
      <c r="L34" s="35"/>
      <c r="M34" s="31"/>
      <c r="N34" s="31"/>
      <c r="O34" s="31"/>
      <c r="P34" s="31"/>
      <c r="Q34" s="31"/>
      <c r="R34" s="31"/>
      <c r="S34" s="31"/>
    </row>
    <row r="35" spans="1:29" x14ac:dyDescent="0.25">
      <c r="A35" s="33"/>
      <c r="B35" s="41" t="str">
        <f>IF(Start!D5="Deutsch","Kosten für Fasstransport (Lieferkosten pro Fass):","Costs for drum transport (delivery costs per drum):")</f>
        <v>Kosten für Fasstransport (Lieferkosten pro Fass):</v>
      </c>
      <c r="J35" s="3">
        <v>30</v>
      </c>
      <c r="K35" s="32" t="str">
        <f>IF(Start!D5="Deutsch"," Euro/Fass"," Euro/drum")</f>
        <v xml:space="preserve"> Euro/Fass</v>
      </c>
      <c r="L35" s="35"/>
      <c r="M35" s="31"/>
      <c r="N35" s="31"/>
      <c r="O35" s="31"/>
      <c r="P35" s="44"/>
      <c r="Q35" s="31"/>
      <c r="R35" s="31"/>
      <c r="S35" s="31"/>
      <c r="T35" s="2"/>
    </row>
    <row r="36" spans="1:29" ht="4.5" customHeight="1" x14ac:dyDescent="0.25">
      <c r="A36" s="33"/>
      <c r="L36" s="35"/>
      <c r="M36" s="31"/>
      <c r="N36" s="31"/>
      <c r="O36" s="31"/>
      <c r="P36" s="31"/>
      <c r="Q36" s="31"/>
      <c r="R36" s="31"/>
      <c r="S36" s="31"/>
    </row>
    <row r="37" spans="1:29" x14ac:dyDescent="0.25">
      <c r="A37" s="33"/>
      <c r="B37" s="41" t="str">
        <f>IF(Start!D5="Deutsch","Lagerkosten pro Fass:","Storage costs per drum:")</f>
        <v>Lagerkosten pro Fass:</v>
      </c>
      <c r="J37" s="3">
        <v>10</v>
      </c>
      <c r="K37" s="32" t="str">
        <f>IF(Start!D5="Deutsch"," Euro/Fass"," Euro/drum")</f>
        <v xml:space="preserve"> Euro/Fass</v>
      </c>
      <c r="L37" s="35"/>
      <c r="M37" s="31"/>
      <c r="N37" s="31"/>
      <c r="O37" s="31"/>
      <c r="P37" s="31"/>
      <c r="Q37" s="31"/>
      <c r="R37" s="31"/>
      <c r="S37" s="31"/>
      <c r="T37" s="2"/>
    </row>
    <row r="38" spans="1:29" ht="4.5" customHeight="1" x14ac:dyDescent="0.25">
      <c r="A38" s="33"/>
      <c r="L38" s="35"/>
      <c r="M38" s="31"/>
      <c r="N38" s="31"/>
      <c r="O38" s="31"/>
      <c r="P38" s="31"/>
      <c r="Q38" s="31"/>
      <c r="R38" s="31"/>
      <c r="S38" s="31"/>
    </row>
    <row r="39" spans="1:29" x14ac:dyDescent="0.25">
      <c r="A39" s="33"/>
      <c r="B39" s="41" t="str">
        <f>IF(Start!D5="Deutsch","innerbetriebliche Transportkosten pro Fass:","Internal transport costs per drum:")</f>
        <v>innerbetriebliche Transportkosten pro Fass:</v>
      </c>
      <c r="J39" s="3">
        <v>10</v>
      </c>
      <c r="K39" s="32" t="str">
        <f>IF(Start!D5="Deutsch"," Euro/Fass"," Euro/drum")</f>
        <v xml:space="preserve"> Euro/Fass</v>
      </c>
      <c r="L39" s="35"/>
      <c r="M39" s="31"/>
      <c r="N39" s="31"/>
      <c r="O39" s="31"/>
      <c r="P39" s="44"/>
      <c r="Q39" s="31"/>
      <c r="R39" s="31"/>
      <c r="S39" s="31"/>
      <c r="T39" s="2"/>
    </row>
    <row r="40" spans="1:29" ht="4.5" customHeight="1" x14ac:dyDescent="0.25">
      <c r="A40" s="33"/>
      <c r="J40" s="47"/>
      <c r="L40" s="35"/>
      <c r="M40" s="31"/>
      <c r="N40" s="31"/>
      <c r="O40" s="31"/>
      <c r="P40" s="31"/>
      <c r="Q40" s="31"/>
      <c r="R40" s="31"/>
      <c r="S40" s="31"/>
    </row>
    <row r="41" spans="1:29" x14ac:dyDescent="0.25">
      <c r="A41" s="33"/>
      <c r="B41" s="41" t="str">
        <f>IF(Start!D5="Deutsch","Kosten des Werkers (5 Min. für einen Fasswechsel):","Worker costs (5 minutes for a drum change):")</f>
        <v>Kosten des Werkers (5 Min. für einen Fasswechsel):</v>
      </c>
      <c r="J41" s="3">
        <v>4</v>
      </c>
      <c r="K41" s="32" t="str">
        <f>IF(Start!D5="Deutsch"," Euro/Fass"," Euro/drum")</f>
        <v xml:space="preserve"> Euro/Fass</v>
      </c>
      <c r="L41" s="35"/>
      <c r="M41" s="31"/>
      <c r="N41" s="31"/>
      <c r="O41" s="31"/>
      <c r="P41" s="31"/>
      <c r="Q41" s="31"/>
      <c r="R41" s="31"/>
      <c r="S41" s="31"/>
      <c r="T41" s="2"/>
    </row>
    <row r="42" spans="1:29" ht="4.5" customHeight="1" x14ac:dyDescent="0.25">
      <c r="A42" s="33"/>
      <c r="L42" s="35"/>
      <c r="M42" s="31"/>
      <c r="N42" s="31"/>
      <c r="O42" s="31"/>
      <c r="P42" s="31"/>
      <c r="Q42" s="31"/>
      <c r="R42" s="31"/>
      <c r="S42" s="31"/>
    </row>
    <row r="43" spans="1:29" x14ac:dyDescent="0.25">
      <c r="A43" s="33"/>
      <c r="B43" s="41" t="str">
        <f>IF(Start!D5="Deutsch","Summe der Nebenkosten pro Fass:","Total additional costs per drum:")</f>
        <v>Summe der Nebenkosten pro Fass:</v>
      </c>
      <c r="J43" s="43">
        <f>IF(OR(J31="",J33="",J35="",J37="",J39="",J41=""),"",SUM(J31:J41))</f>
        <v>104</v>
      </c>
      <c r="K43" s="32" t="str">
        <f>IF(Start!D5="Deutsch"," Euro/Fass"," Euro/drum")</f>
        <v xml:space="preserve"> Euro/Fass</v>
      </c>
      <c r="L43" s="35"/>
      <c r="M43" s="31"/>
      <c r="N43" s="31"/>
      <c r="O43" s="31"/>
      <c r="P43" s="31"/>
      <c r="Q43" s="31"/>
      <c r="R43" s="31"/>
      <c r="S43" s="31"/>
      <c r="T43" s="2"/>
    </row>
    <row r="44" spans="1:29" ht="9.9499999999999993" customHeight="1" x14ac:dyDescent="0.25">
      <c r="A44" s="33"/>
      <c r="B44" s="41"/>
      <c r="L44" s="35"/>
      <c r="M44" s="31"/>
      <c r="N44" s="31"/>
      <c r="O44" s="31"/>
      <c r="P44" s="31"/>
      <c r="Q44" s="31"/>
      <c r="R44" s="31"/>
      <c r="S44" s="31"/>
    </row>
    <row r="45" spans="1:29" ht="18.75" hidden="1" x14ac:dyDescent="0.3">
      <c r="A45" s="33"/>
      <c r="B45" s="38" t="str">
        <f>IF(Start!D5="Deutsch","Befüllhöhe","Filling level")</f>
        <v>Befüllhöhe</v>
      </c>
      <c r="C45" s="39" t="s">
        <v>0</v>
      </c>
      <c r="D45" s="39"/>
      <c r="E45" s="39"/>
      <c r="F45" s="39"/>
      <c r="G45" s="39"/>
      <c r="H45" s="39"/>
      <c r="I45" s="39"/>
      <c r="J45" s="39"/>
      <c r="K45" s="40"/>
      <c r="L45" s="35"/>
      <c r="M45" s="31"/>
      <c r="N45" s="31"/>
      <c r="O45" s="31"/>
      <c r="P45" s="31"/>
      <c r="Q45" s="31"/>
      <c r="R45" s="31"/>
      <c r="S45" s="31"/>
      <c r="T45" s="31"/>
      <c r="U45" s="31"/>
    </row>
    <row r="46" spans="1:29" ht="9.9499999999999993" hidden="1" customHeight="1" x14ac:dyDescent="0.25">
      <c r="A46" s="33"/>
      <c r="L46" s="35"/>
      <c r="M46" s="31"/>
      <c r="N46" s="31"/>
      <c r="O46" s="31"/>
      <c r="P46" s="31"/>
      <c r="Q46" s="31"/>
      <c r="R46" s="31"/>
      <c r="S46" s="31"/>
      <c r="V46" s="31"/>
      <c r="W46" s="31"/>
      <c r="Z46" s="31"/>
      <c r="AA46" s="31"/>
      <c r="AB46" s="31"/>
      <c r="AC46" s="31"/>
    </row>
    <row r="47" spans="1:29" hidden="1" x14ac:dyDescent="0.25">
      <c r="A47" s="33"/>
      <c r="B47" s="48" t="str">
        <f>IF(Start!D5="Deutsch","aktuelle Befüllhöhe:","Current filling level:")</f>
        <v>aktuelle Befüllhöhe:</v>
      </c>
      <c r="D47" s="24" t="s">
        <v>10</v>
      </c>
      <c r="E47" s="25"/>
      <c r="F47" s="26"/>
      <c r="J47" s="6">
        <v>165</v>
      </c>
      <c r="K47" s="32" t="s">
        <v>5</v>
      </c>
      <c r="L47" s="35"/>
      <c r="M47" s="31"/>
      <c r="N47" s="31"/>
      <c r="O47" s="31"/>
      <c r="P47" s="31"/>
      <c r="Q47" s="31"/>
      <c r="R47" s="31"/>
      <c r="S47" s="31"/>
      <c r="T47" s="31"/>
      <c r="U47" s="31"/>
    </row>
    <row r="48" spans="1:29" ht="5.0999999999999996" hidden="1" customHeight="1" x14ac:dyDescent="0.25">
      <c r="A48" s="33"/>
      <c r="L48" s="35"/>
      <c r="M48" s="31"/>
      <c r="N48" s="31"/>
      <c r="O48" s="31"/>
      <c r="P48" s="31"/>
      <c r="Q48" s="31"/>
      <c r="R48" s="31"/>
      <c r="S48" s="31"/>
      <c r="T48" s="31"/>
      <c r="U48" s="31"/>
    </row>
    <row r="49" spans="1:21" hidden="1" x14ac:dyDescent="0.25">
      <c r="A49" s="33"/>
      <c r="B49" s="41" t="str">
        <f>IF(Start!D5="Deutsch","resultierende Klebstoffmenge pro Fass:","Resulting adhesive quantity per drum:")</f>
        <v>resultierende Klebstoffmenge pro Fass:</v>
      </c>
      <c r="J49" s="49">
        <f>IF(OR(J5="",J7="",J9="",J47="",D47=""),"",IF(OR(D47="Boden bis Klebstoffspiegel:",D47="Floor to adhesive level:"),((J5/200)*(J5/200)*3.14159)*((J47-J9)/100),((J5/200)*(J5/200)*3.14159)*((J7-J47-J9)/100)))</f>
        <v>184.37168613420002</v>
      </c>
      <c r="K49" s="32" t="str">
        <f>IF(Start!D5="Deutsch"," Liter"," liter")</f>
        <v xml:space="preserve"> Liter</v>
      </c>
      <c r="L49" s="35"/>
      <c r="M49" s="31"/>
      <c r="N49" s="31"/>
      <c r="O49" s="31"/>
      <c r="P49" s="31"/>
      <c r="Q49" s="31"/>
      <c r="R49" s="31"/>
      <c r="S49" s="31"/>
      <c r="T49" s="31"/>
      <c r="U49" s="31"/>
    </row>
    <row r="50" spans="1:21" ht="9.9499999999999993" hidden="1" customHeight="1" x14ac:dyDescent="0.25">
      <c r="A50" s="33"/>
      <c r="L50" s="35"/>
      <c r="M50" s="31"/>
      <c r="N50" s="31"/>
      <c r="O50" s="31"/>
      <c r="P50" s="31"/>
      <c r="Q50" s="31"/>
      <c r="R50" s="31"/>
      <c r="S50" s="31"/>
      <c r="T50" s="31"/>
      <c r="U50" s="31"/>
    </row>
    <row r="51" spans="1:21" hidden="1" x14ac:dyDescent="0.25">
      <c r="A51" s="33"/>
      <c r="B51" s="48" t="str">
        <f>IF(Start!D5="Deutsch","neue Befüllhöhe:","New filling level:")</f>
        <v>neue Befüllhöhe:</v>
      </c>
      <c r="D51" s="24" t="s">
        <v>10</v>
      </c>
      <c r="E51" s="25"/>
      <c r="F51" s="26"/>
      <c r="J51" s="6">
        <v>50</v>
      </c>
      <c r="K51" s="32" t="s">
        <v>5</v>
      </c>
      <c r="L51" s="35"/>
      <c r="M51" s="31"/>
      <c r="N51" s="31"/>
      <c r="P51" s="31"/>
      <c r="Q51" s="31"/>
      <c r="R51" s="31"/>
      <c r="S51" s="31"/>
      <c r="T51" s="31"/>
      <c r="U51" s="31"/>
    </row>
    <row r="52" spans="1:21" ht="5.0999999999999996" hidden="1" customHeight="1" x14ac:dyDescent="0.25">
      <c r="A52" s="33"/>
      <c r="L52" s="35"/>
      <c r="M52" s="31"/>
      <c r="N52" s="31"/>
      <c r="O52" s="31"/>
      <c r="P52" s="31"/>
      <c r="Q52" s="31"/>
      <c r="R52" s="31"/>
      <c r="S52" s="31"/>
      <c r="T52" s="31"/>
      <c r="U52" s="31"/>
    </row>
    <row r="53" spans="1:21" hidden="1" x14ac:dyDescent="0.25">
      <c r="A53" s="33"/>
      <c r="B53" s="41" t="str">
        <f>IF(Start!D5="Deutsch","resultierende Klebstoffmenge pro Fass:","Resulting adhesive quantity per drum:")</f>
        <v>resultierende Klebstoffmenge pro Fass:</v>
      </c>
      <c r="J53" s="49">
        <f>IF(OR(J5="",J7="",J9="",J51="",D51=""),"",IF(OR(D51="Boden bis Klebstoffspiegel:",D51="Floor to adhesive level:"),((J5/200)*(J5/200)*3.14159)*((J51-J9)/100),((J5/200)*(J5/200)*3.14159)*((J7-J51-J9)/100)))</f>
        <v>213.81994155841252</v>
      </c>
      <c r="K53" s="32" t="str">
        <f>IF(Start!D5="Deutsch"," Liter"," liter")</f>
        <v xml:space="preserve"> Liter</v>
      </c>
      <c r="L53" s="35"/>
      <c r="M53" s="31"/>
      <c r="N53" s="31"/>
      <c r="O53" s="31"/>
      <c r="P53" s="31"/>
      <c r="Q53" s="31"/>
      <c r="R53" s="31"/>
      <c r="S53" s="31"/>
      <c r="T53" s="31"/>
      <c r="U53" s="31"/>
    </row>
    <row r="54" spans="1:21" ht="9.9499999999999993" hidden="1" customHeight="1" x14ac:dyDescent="0.25">
      <c r="A54" s="33"/>
      <c r="L54" s="35"/>
      <c r="M54" s="31"/>
      <c r="N54" s="31"/>
      <c r="O54" s="31"/>
      <c r="P54" s="31"/>
      <c r="Q54" s="31"/>
      <c r="R54" s="31"/>
      <c r="S54" s="31"/>
      <c r="T54" s="31"/>
      <c r="U54" s="31"/>
    </row>
    <row r="55" spans="1:21" hidden="1" x14ac:dyDescent="0.25">
      <c r="A55" s="33"/>
      <c r="B55" s="41" t="str">
        <f>IF(Start!D5="Deutsch","Befülldifferenz:","Filling differenz:")</f>
        <v>Befülldifferenz:</v>
      </c>
      <c r="J55" s="43">
        <f>IF(OR(J49="",J53=""),"",J53-J49)</f>
        <v>29.448255424212505</v>
      </c>
      <c r="K55" s="32" t="str">
        <f>IF(Start!D5="Deutsch"," Liter"," liter")</f>
        <v xml:space="preserve"> Liter</v>
      </c>
      <c r="L55" s="35"/>
      <c r="M55" s="31"/>
      <c r="N55" s="31"/>
      <c r="O55" s="31"/>
      <c r="P55" s="31"/>
      <c r="Q55" s="31"/>
      <c r="R55" s="31"/>
      <c r="S55" s="31"/>
    </row>
    <row r="56" spans="1:21" ht="9.9499999999999993" hidden="1" customHeight="1" x14ac:dyDescent="0.25">
      <c r="A56" s="33"/>
      <c r="L56" s="35"/>
      <c r="M56" s="31"/>
      <c r="N56" s="31"/>
      <c r="O56" s="31"/>
      <c r="P56" s="31"/>
      <c r="Q56" s="31"/>
      <c r="R56" s="31"/>
      <c r="S56" s="31"/>
      <c r="T56" s="31"/>
      <c r="U56" s="31"/>
    </row>
    <row r="57" spans="1:21" ht="18.75" x14ac:dyDescent="0.3">
      <c r="A57" s="33"/>
      <c r="B57" s="38" t="str">
        <f>IF(Start!D5="Deutsch","Ausführung der Schmelzplatte","Design of the melting plate")</f>
        <v>Ausführung der Schmelzplatte</v>
      </c>
      <c r="C57" s="39" t="s">
        <v>0</v>
      </c>
      <c r="D57" s="39"/>
      <c r="E57" s="39"/>
      <c r="F57" s="39"/>
      <c r="G57" s="39"/>
      <c r="H57" s="39"/>
      <c r="I57" s="39"/>
      <c r="J57" s="39"/>
      <c r="K57" s="40"/>
      <c r="L57" s="35"/>
      <c r="M57" s="31"/>
      <c r="N57" s="31"/>
      <c r="O57" s="31"/>
      <c r="P57" s="31"/>
      <c r="Q57" s="31"/>
      <c r="R57" s="31"/>
      <c r="S57" s="31"/>
      <c r="T57" s="31"/>
      <c r="U57" s="31"/>
    </row>
    <row r="58" spans="1:21" ht="9.9499999999999993" customHeight="1" x14ac:dyDescent="0.25">
      <c r="A58" s="33"/>
      <c r="L58" s="35"/>
      <c r="M58" s="31"/>
      <c r="N58" s="31"/>
      <c r="O58" s="31"/>
      <c r="P58" s="31"/>
      <c r="Q58" s="31"/>
      <c r="R58" s="31"/>
      <c r="S58" s="31"/>
      <c r="T58" s="31"/>
      <c r="U58" s="31"/>
    </row>
    <row r="59" spans="1:21" ht="15" hidden="1" customHeight="1" x14ac:dyDescent="0.25">
      <c r="A59" s="33"/>
      <c r="F59" s="50" t="str">
        <f>IF(Start!D5="Deutsch","Vergleichssystem","Compared system")</f>
        <v>Vergleichssystem</v>
      </c>
      <c r="G59" s="50"/>
      <c r="H59" s="50"/>
      <c r="I59" s="51" t="str">
        <f>IF(Start!D5="Deutsch","SM-Fassschmelzer","SM drum melter")</f>
        <v>SM-Fassschmelzer</v>
      </c>
      <c r="J59" s="51"/>
      <c r="K59" s="51"/>
      <c r="L59" s="35"/>
      <c r="M59" s="31"/>
      <c r="N59" s="31"/>
      <c r="O59" s="31"/>
      <c r="P59" s="31"/>
      <c r="Q59" s="31"/>
      <c r="R59" s="31"/>
      <c r="S59" s="31"/>
      <c r="T59" s="31"/>
      <c r="U59" s="31"/>
    </row>
    <row r="60" spans="1:21" ht="9.9499999999999993" hidden="1" customHeight="1" x14ac:dyDescent="0.25">
      <c r="A60" s="33"/>
      <c r="G60" s="45"/>
      <c r="I60" s="46"/>
      <c r="J60" s="46"/>
      <c r="K60" s="46"/>
      <c r="L60" s="35"/>
      <c r="M60" s="31"/>
      <c r="N60" s="31"/>
      <c r="O60" s="31"/>
      <c r="P60" s="31"/>
      <c r="Q60" s="31"/>
      <c r="R60" s="31"/>
      <c r="S60" s="31"/>
      <c r="T60" s="31"/>
      <c r="U60" s="31"/>
    </row>
    <row r="61" spans="1:21" x14ac:dyDescent="0.25">
      <c r="A61" s="33"/>
      <c r="B61" s="41" t="str">
        <f>IF(Start!D5="Deutsch","verwendete Schmelzplattenform:","Used melting plate shape:")</f>
        <v>verwendete Schmelzplattenform:</v>
      </c>
      <c r="I61" s="17" t="s">
        <v>9</v>
      </c>
      <c r="J61" s="18"/>
      <c r="K61" s="19"/>
      <c r="L61" s="35"/>
      <c r="M61" s="31"/>
      <c r="N61" s="31"/>
      <c r="O61" s="31"/>
      <c r="P61" s="31"/>
      <c r="Q61" s="31"/>
      <c r="R61" s="31"/>
      <c r="S61" s="31"/>
      <c r="T61" s="31"/>
      <c r="U61" s="31"/>
    </row>
    <row r="62" spans="1:21" ht="9.9499999999999993" hidden="1" customHeight="1" x14ac:dyDescent="0.25">
      <c r="A62" s="33"/>
      <c r="G62" s="45"/>
      <c r="I62" s="46"/>
      <c r="J62" s="46"/>
      <c r="K62" s="46"/>
      <c r="L62" s="35"/>
      <c r="M62" s="31"/>
      <c r="N62" s="31"/>
      <c r="O62" s="31"/>
      <c r="P62" s="31"/>
      <c r="Q62" s="31"/>
      <c r="R62" s="31"/>
      <c r="S62" s="31"/>
      <c r="T62" s="31"/>
      <c r="U62" s="31"/>
    </row>
    <row r="63" spans="1:21" hidden="1" x14ac:dyDescent="0.25">
      <c r="A63" s="33"/>
      <c r="B63" s="52" t="str">
        <f>IF(Start!D5="Deutsch","konstruktionsbedingt minimal erforderlicher Freiraum
oberhalb des Materialspiegels bis zur Fassoberkante:","Minimum required clearance due to the design
above the material level up to the top edge of the drum:")</f>
        <v>konstruktionsbedingt minimal erforderlicher Freiraum
oberhalb des Materialspiegels bis zur Fassoberkante:</v>
      </c>
      <c r="C63" s="52"/>
      <c r="D63" s="52"/>
      <c r="E63" s="52"/>
      <c r="F63" s="52"/>
      <c r="L63" s="35"/>
      <c r="M63" s="31"/>
      <c r="N63" s="31"/>
      <c r="O63" s="31"/>
      <c r="P63" s="31"/>
      <c r="Q63" s="31"/>
      <c r="R63" s="31"/>
      <c r="S63" s="31"/>
      <c r="T63" s="31"/>
      <c r="U63" s="31"/>
    </row>
    <row r="64" spans="1:21" hidden="1" x14ac:dyDescent="0.25">
      <c r="A64" s="33"/>
      <c r="B64" s="52"/>
      <c r="C64" s="52"/>
      <c r="D64" s="52"/>
      <c r="E64" s="52"/>
      <c r="F64" s="52"/>
      <c r="G64" s="6">
        <v>165</v>
      </c>
      <c r="H64" s="32" t="s">
        <v>5</v>
      </c>
      <c r="J64" s="53">
        <f>IF(I61="","",IF(OR(I61="flache Schmelzplatte 6 mm (25 kg/h)",I61="Flat melting plate 6 mm (25 kg/h)"),Start!F16,IF(OR(I61="Rippen-Schmelzplatte 15 mm (100 kg/h)",I61="Grit melting plate 15 mm (100 kg/h)"),Start!F17,IF(OR(I61="Rippen-Schmelzplatte 27 mm (150 kg/h)",I61="Grit melting plate 27 mm (150 kg/h)"),Start!F18,IF(OR(I61="Rippen-Schmelzplatte 40 mm (250 kg/h)",I61="Grit melting plate 40 mm (250 kg/h)"),Start!F19,Start!F20)))))</f>
        <v>50</v>
      </c>
      <c r="K64" s="32" t="s">
        <v>5</v>
      </c>
      <c r="L64" s="35"/>
      <c r="M64" s="31"/>
      <c r="N64" s="31"/>
      <c r="O64" s="31"/>
      <c r="P64" s="31"/>
      <c r="Q64" s="31"/>
      <c r="R64" s="31"/>
      <c r="S64" s="31"/>
      <c r="T64" s="31"/>
      <c r="U64" s="31"/>
    </row>
    <row r="65" spans="1:21" ht="5.0999999999999996" hidden="1" customHeight="1" x14ac:dyDescent="0.25">
      <c r="A65" s="33"/>
      <c r="L65" s="35"/>
      <c r="M65" s="31"/>
      <c r="N65" s="31"/>
      <c r="O65" s="31"/>
      <c r="P65" s="31"/>
      <c r="Q65" s="31"/>
      <c r="R65" s="31"/>
      <c r="S65" s="31"/>
      <c r="T65" s="31"/>
      <c r="U65" s="31"/>
    </row>
    <row r="66" spans="1:21" hidden="1" x14ac:dyDescent="0.25">
      <c r="A66" s="33"/>
      <c r="B66" s="41" t="str">
        <f>IF(Start!D5="Deutsch","resultierender maximal möglicher Fassinhalt:","Resulting maximum possible drum content:")</f>
        <v>resultierender maximal möglicher Fassinhalt:</v>
      </c>
      <c r="G66" s="49">
        <f>IF(OR(J5="",J7="",J9="",G64=""),"",((J5/200)*(J5/200)*3.14159)*((J7-J9-G64)/100))</f>
        <v>184.37168613420002</v>
      </c>
      <c r="H66" s="32" t="str">
        <f>IF(Start!D5="Deutsch"," Liter"," liter")</f>
        <v xml:space="preserve"> Liter</v>
      </c>
      <c r="J66" s="49">
        <f>IF(OR(J5="",J7="",J9="",J64=""),"",((J5/200)*(J5/200)*3.14159)*((J7-J9-J64)/100))</f>
        <v>213.81994155841252</v>
      </c>
      <c r="K66" s="32" t="str">
        <f>IF(Start!D5="Deutsch"," Liter"," liter")</f>
        <v xml:space="preserve"> Liter</v>
      </c>
      <c r="L66" s="35"/>
      <c r="M66" s="31"/>
      <c r="N66" s="31"/>
      <c r="O66" s="31"/>
      <c r="P66" s="31"/>
      <c r="Q66" s="31"/>
      <c r="R66" s="31"/>
      <c r="S66" s="31"/>
      <c r="T66" s="31"/>
      <c r="U66" s="31"/>
    </row>
    <row r="67" spans="1:21" ht="5.0999999999999996" hidden="1" customHeight="1" x14ac:dyDescent="0.25">
      <c r="A67" s="33"/>
      <c r="L67" s="35"/>
      <c r="M67" s="31"/>
      <c r="N67" s="31"/>
      <c r="O67" s="31"/>
      <c r="P67" s="31"/>
      <c r="Q67" s="31"/>
      <c r="R67" s="31"/>
      <c r="S67" s="31"/>
      <c r="T67" s="31"/>
      <c r="U67" s="31"/>
    </row>
    <row r="68" spans="1:21" hidden="1" x14ac:dyDescent="0.25">
      <c r="A68" s="33"/>
      <c r="B68" s="41" t="str">
        <f>IF(Start!D5="Deutsch","Klebstoffverlust durch konstruktionsbedingte Restmenge im Fass:","Adhesive loss due to design-related residual quantity in the drum:")</f>
        <v>Klebstoffverlust durch konstruktionsbedingte Restmenge im Fass:</v>
      </c>
      <c r="G68" s="3">
        <v>10</v>
      </c>
      <c r="H68" s="32" t="str">
        <f>IF(Start!D5="Deutsch"," Liter"," liter")</f>
        <v xml:space="preserve"> Liter</v>
      </c>
      <c r="J68" s="43">
        <f>IF(I61="","",IF(OR(I61="flache Schmelzplatte 6 mm (25 kg/h)",I61="Flat melting plate 6 mm (25 kg/h)"),Start!E16,IF(OR(I61="Rippen-Schmelzplatte 15 mm (100 kg/h)",I61="Grit melting plate 15 mm (100 kg/h)"),Start!E17,IF(OR(I61="Rippen-Schmelzplatte 27 mm (150 kg/h)",I61="Grit melting plate 27 mm (150 kg/h)"),Start!E18,IF(OR(I61="Rippen-Schmelzplatte 40 mm (250 kg/h)",I61="Grit melting plate 40 mm (250 kg/h)"),Start!E19,Start!E20)))))</f>
        <v>0.6</v>
      </c>
      <c r="K68" s="32" t="str">
        <f>IF(Start!D5="Deutsch"," Liter"," liter")</f>
        <v xml:space="preserve"> Liter</v>
      </c>
      <c r="L68" s="35"/>
      <c r="M68" s="31"/>
      <c r="N68" s="31"/>
      <c r="O68" s="31"/>
      <c r="P68" s="44"/>
      <c r="Q68" s="31"/>
      <c r="R68" s="31"/>
      <c r="S68" s="31"/>
      <c r="T68" s="31"/>
      <c r="U68" s="31"/>
    </row>
    <row r="69" spans="1:21" ht="5.0999999999999996" hidden="1" customHeight="1" x14ac:dyDescent="0.25">
      <c r="A69" s="33"/>
      <c r="L69" s="35"/>
      <c r="M69" s="31"/>
      <c r="N69" s="31"/>
      <c r="O69" s="31"/>
      <c r="P69" s="31"/>
      <c r="Q69" s="31"/>
      <c r="R69" s="31"/>
      <c r="S69" s="31"/>
      <c r="T69" s="31"/>
      <c r="U69" s="31"/>
    </row>
    <row r="70" spans="1:21" hidden="1" x14ac:dyDescent="0.25">
      <c r="A70" s="33"/>
      <c r="B70" s="41" t="str">
        <f>IF(Start!D5="Deutsch","Klebstoffverlust durch Pumpenentlüftung:","Adhesive loss due to pump venting:")</f>
        <v>Klebstoffverlust durch Pumpenentlüftung:</v>
      </c>
      <c r="G70" s="3">
        <v>0.5</v>
      </c>
      <c r="H70" s="32" t="str">
        <f>IF(Start!D5="Deutsch"," Liter"," liter")</f>
        <v xml:space="preserve"> Liter</v>
      </c>
      <c r="J70" s="3">
        <v>0.5</v>
      </c>
      <c r="K70" s="32" t="str">
        <f>IF(Start!D5="Deutsch"," Liter"," liter")</f>
        <v xml:space="preserve"> Liter</v>
      </c>
      <c r="L70" s="35"/>
      <c r="M70" s="31"/>
      <c r="N70" s="31"/>
      <c r="O70" s="31"/>
      <c r="P70" s="44"/>
      <c r="Q70" s="31"/>
      <c r="R70" s="31"/>
      <c r="S70" s="31"/>
      <c r="T70" s="31"/>
      <c r="U70" s="31"/>
    </row>
    <row r="71" spans="1:21" ht="9.9499999999999993" customHeight="1" collapsed="1" x14ac:dyDescent="0.25">
      <c r="A71" s="33"/>
      <c r="L71" s="35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18.75" hidden="1" x14ac:dyDescent="0.3">
      <c r="A72" s="33"/>
      <c r="B72" s="38" t="str">
        <f>IF(Start!D5="Deutsch","Gegenüberstellung des Klebstoffbedarfs und der Gesamtkosten","Comparison of adhesive requirements and total costs")</f>
        <v>Gegenüberstellung des Klebstoffbedarfs und der Gesamtkosten</v>
      </c>
      <c r="C72" s="39"/>
      <c r="D72" s="39"/>
      <c r="E72" s="39"/>
      <c r="F72" s="39"/>
      <c r="G72" s="39"/>
      <c r="H72" s="39"/>
      <c r="I72" s="39"/>
      <c r="J72" s="39"/>
      <c r="K72" s="40"/>
      <c r="L72" s="35"/>
      <c r="M72" s="31"/>
      <c r="N72" s="31"/>
      <c r="O72" s="31"/>
      <c r="P72" s="31"/>
      <c r="Q72" s="31"/>
      <c r="R72" s="31"/>
      <c r="S72" s="31"/>
      <c r="T72" s="2"/>
    </row>
    <row r="73" spans="1:21" ht="9.9499999999999993" hidden="1" customHeight="1" x14ac:dyDescent="0.25">
      <c r="A73" s="33"/>
      <c r="B73" s="41"/>
      <c r="L73" s="35"/>
      <c r="M73" s="31"/>
      <c r="N73" s="31"/>
      <c r="O73" s="31"/>
      <c r="P73" s="31"/>
      <c r="Q73" s="31"/>
      <c r="R73" s="31"/>
      <c r="S73" s="31"/>
    </row>
    <row r="74" spans="1:21" ht="15" hidden="1" customHeight="1" x14ac:dyDescent="0.25">
      <c r="A74" s="33"/>
      <c r="B74" s="20" t="s">
        <v>12</v>
      </c>
      <c r="C74" s="21"/>
      <c r="D74" s="21"/>
      <c r="E74" s="22"/>
      <c r="F74" s="50" t="str">
        <f>IF(Start!D5="Deutsch","Vergleichssystem","Compared system")</f>
        <v>Vergleichssystem</v>
      </c>
      <c r="G74" s="50"/>
      <c r="H74" s="50"/>
      <c r="I74" s="51" t="str">
        <f>IF(Start!D5="Deutsch","SM-Fassschmelzer","SM drum melter")</f>
        <v>SM-Fassschmelzer</v>
      </c>
      <c r="J74" s="51"/>
      <c r="K74" s="51"/>
      <c r="L74" s="35"/>
      <c r="M74" s="31"/>
      <c r="N74" s="31"/>
      <c r="O74" s="31"/>
      <c r="P74" s="31"/>
      <c r="Q74" s="31"/>
      <c r="R74" s="31"/>
      <c r="S74" s="31"/>
      <c r="T74" s="2"/>
    </row>
    <row r="75" spans="1:21" ht="15" hidden="1" customHeight="1" x14ac:dyDescent="0.25">
      <c r="A75" s="33"/>
      <c r="F75" s="54"/>
      <c r="G75" s="54"/>
      <c r="H75" s="54"/>
      <c r="I75" s="46"/>
      <c r="J75" s="46"/>
      <c r="K75" s="46"/>
      <c r="L75" s="35"/>
      <c r="M75" s="31"/>
      <c r="N75" s="31"/>
      <c r="O75" s="31"/>
      <c r="P75" s="31"/>
      <c r="Q75" s="31"/>
      <c r="R75" s="31"/>
      <c r="S75" s="31"/>
      <c r="T75" s="2"/>
    </row>
    <row r="76" spans="1:21" ht="15" hidden="1" customHeight="1" x14ac:dyDescent="0.25">
      <c r="A76" s="33"/>
      <c r="B76" s="41" t="str">
        <f>IF(Start!D5="Deutsch","resultierendes Klebstoffgewicht pro Fass:","Resulting adhesive weight per drum:")</f>
        <v>resultierendes Klebstoffgewicht pro Fass:</v>
      </c>
      <c r="G76" s="43">
        <f>IF(OR(B74="",J49="",J13="",J53=""),"",IF(OR(B74="bei aktueller Befüllhöhe",B74="With current filling level"),J49*J13,G66*J13))</f>
        <v>184.37168613420002</v>
      </c>
      <c r="H76" s="32" t="s">
        <v>4</v>
      </c>
      <c r="J76" s="43">
        <f>IF(OR(B74="",J49="",J13="",J53=""),"",IF(OR(B74="bei aktueller Befüllhöhe",B74="With current filling level"),J49*J13,J53*J13))</f>
        <v>213.81994155841252</v>
      </c>
      <c r="K76" s="32" t="s">
        <v>4</v>
      </c>
      <c r="L76" s="35"/>
      <c r="M76" s="31"/>
      <c r="N76" s="31"/>
      <c r="O76" s="31"/>
      <c r="P76" s="31"/>
      <c r="Q76" s="31"/>
      <c r="R76" s="31"/>
      <c r="S76" s="31"/>
      <c r="T76" s="2"/>
    </row>
    <row r="77" spans="1:21" ht="5.0999999999999996" hidden="1" customHeight="1" x14ac:dyDescent="0.25">
      <c r="A77" s="33"/>
      <c r="L77" s="35"/>
      <c r="M77" s="31"/>
      <c r="N77" s="31"/>
      <c r="O77" s="31"/>
      <c r="P77" s="31"/>
      <c r="Q77" s="31"/>
      <c r="R77" s="31"/>
      <c r="S77" s="31"/>
      <c r="T77" s="2"/>
    </row>
    <row r="78" spans="1:21" ht="15" hidden="1" customHeight="1" x14ac:dyDescent="0.25">
      <c r="A78" s="33"/>
      <c r="B78" s="41" t="str">
        <f>IF(Start!D5="Deutsch","monatl. Gesamt-Klebstoffbedarf - Produktion und Verluste:","Total monthly adhesive demand - production and losses:")</f>
        <v>monatl. Gesamt-Klebstoffbedarf - Produktion und Verluste:</v>
      </c>
      <c r="G78" s="43">
        <f>IF(G80="","",G80/12)</f>
        <v>16.086429615208953</v>
      </c>
      <c r="H78" s="32" t="str">
        <f>IF(Start!D5="Deutsch"," t/Monat"," t/month")</f>
        <v xml:space="preserve"> t/Monat</v>
      </c>
      <c r="J78" s="43">
        <f>IF(J80="","",J80/12)</f>
        <v>15.252489164500092</v>
      </c>
      <c r="K78" s="32" t="str">
        <f>IF(Start!D5="Deutsch"," t/Monat"," t/month")</f>
        <v xml:space="preserve"> t/Monat</v>
      </c>
      <c r="L78" s="35"/>
      <c r="M78" s="31"/>
      <c r="N78" s="31"/>
      <c r="O78" s="31"/>
      <c r="P78" s="31"/>
      <c r="Q78" s="31"/>
      <c r="R78" s="31"/>
      <c r="S78" s="31"/>
      <c r="T78" s="2"/>
    </row>
    <row r="79" spans="1:21" ht="5.0999999999999996" hidden="1" customHeight="1" x14ac:dyDescent="0.25">
      <c r="A79" s="33"/>
      <c r="L79" s="35"/>
      <c r="M79" s="31"/>
      <c r="N79" s="31"/>
      <c r="O79" s="31"/>
      <c r="P79" s="31"/>
      <c r="Q79" s="31"/>
      <c r="R79" s="31"/>
      <c r="S79" s="31"/>
      <c r="T79" s="2"/>
    </row>
    <row r="80" spans="1:21" ht="15" hidden="1" customHeight="1" x14ac:dyDescent="0.25">
      <c r="A80" s="33"/>
      <c r="B80" s="41" t="str">
        <f>IF(Start!D5="Deutsch","jährl. Gesamt-Klebstoffbedarf - Produktion und Verluste:","Total annual adhesive demand - production and losses:")</f>
        <v>jährl. Gesamt-Klebstoffbedarf - Produktion und Verluste:</v>
      </c>
      <c r="G80" s="43">
        <f>IF(OR(G82="",G76=""),"",(G82*G76)/1000)</f>
        <v>193.03715538250742</v>
      </c>
      <c r="H80" s="32" t="str">
        <f>IF(Start!D5="Deutsch"," t/Jahr"," t/year")</f>
        <v xml:space="preserve"> t/Jahr</v>
      </c>
      <c r="J80" s="43">
        <f>IF(OR(J82="",J76=""),"",(J82*J76)/1000)</f>
        <v>183.02986997400112</v>
      </c>
      <c r="K80" s="32" t="str">
        <f>IF(Start!D5="Deutsch"," t/Jahr"," t/year")</f>
        <v xml:space="preserve"> t/Jahr</v>
      </c>
      <c r="L80" s="35"/>
      <c r="M80" s="31"/>
      <c r="N80" s="55"/>
      <c r="O80" s="31"/>
      <c r="P80" s="31"/>
      <c r="Q80" s="31"/>
      <c r="R80" s="31"/>
      <c r="S80" s="31"/>
      <c r="T80" s="2"/>
    </row>
    <row r="81" spans="1:20" ht="5.0999999999999996" hidden="1" customHeight="1" x14ac:dyDescent="0.25">
      <c r="A81" s="33"/>
      <c r="L81" s="35"/>
      <c r="M81" s="31"/>
      <c r="N81" s="31"/>
      <c r="O81" s="31"/>
      <c r="P81" s="31"/>
      <c r="Q81" s="31"/>
      <c r="R81" s="31"/>
      <c r="S81" s="31"/>
      <c r="T81" s="2"/>
    </row>
    <row r="82" spans="1:20" ht="15" hidden="1" customHeight="1" x14ac:dyDescent="0.25">
      <c r="A82" s="33"/>
      <c r="B82" s="41" t="str">
        <f>IF(Start!D5="Deutsch","jährlich erforderliche Klebstofffässer:","Annually required adhesive drums:")</f>
        <v>jährlich erforderliche Klebstofffässer:</v>
      </c>
      <c r="G82" s="53">
        <f>IF(OR(J23="",J49="",G68="",G70=""),"",IF(OR(B74="bei aktueller Befüllhöhe",B74="With current filling level"),ROUNDUP((J23*1000/J13)/(J49-(G68+G70)),0),ROUNDUP((J23*1000/J13)/(G66-(G68+G70)),0)))</f>
        <v>1047</v>
      </c>
      <c r="H82" s="32" t="str">
        <f>IF(Start!D5="Deutsch"," Fässer"," drums")</f>
        <v xml:space="preserve"> Fässer</v>
      </c>
      <c r="J82" s="53">
        <f>IF(OR(J23="",J49="",J68="",J70=""),"",IF(OR(B74="bei aktueller Befüllhöhe",B74="With current filling level"),ROUNDUP((J23*1000/J13)/(J49-(J68+J70)),0),ROUNDUP((J23*1000/J13)/(J53-(J68+J70)),0)))</f>
        <v>856</v>
      </c>
      <c r="K82" s="32" t="str">
        <f>IF(Start!D5="Deutsch"," Fässer"," drums")</f>
        <v xml:space="preserve"> Fässer</v>
      </c>
      <c r="L82" s="35"/>
      <c r="M82" s="31"/>
      <c r="N82" s="31"/>
      <c r="O82" s="31"/>
      <c r="P82" s="31"/>
      <c r="Q82" s="31"/>
      <c r="R82" s="31"/>
      <c r="S82" s="31"/>
      <c r="T82" s="2"/>
    </row>
    <row r="83" spans="1:20" ht="5.0999999999999996" hidden="1" customHeight="1" x14ac:dyDescent="0.25">
      <c r="A83" s="33"/>
      <c r="B83" s="41"/>
      <c r="L83" s="35"/>
      <c r="M83" s="31"/>
      <c r="N83" s="31"/>
      <c r="O83" s="31"/>
      <c r="P83" s="31"/>
      <c r="Q83" s="31"/>
      <c r="R83" s="31"/>
      <c r="S83" s="31"/>
      <c r="T83" s="2"/>
    </row>
    <row r="84" spans="1:20" ht="15" hidden="1" customHeight="1" x14ac:dyDescent="0.25">
      <c r="A84" s="33"/>
      <c r="B84" s="41" t="str">
        <f>IF(Start!D5="Deutsch","Summe der Nebenkosten per kg:","Total additional costs per kg:")</f>
        <v>Summe der Nebenkosten per kg:</v>
      </c>
      <c r="G84" s="43">
        <f>IF(OR(G76="",J43=""),"",J43/G76)</f>
        <v>0.56407793507025117</v>
      </c>
      <c r="H84" s="32" t="s">
        <v>7</v>
      </c>
      <c r="J84" s="43">
        <f>IF(OR(J76="",J43=""),"",J43/J76)</f>
        <v>0.48639055479111476</v>
      </c>
      <c r="K84" s="32" t="s">
        <v>7</v>
      </c>
      <c r="L84" s="35"/>
      <c r="M84" s="31"/>
      <c r="N84" s="31"/>
      <c r="O84" s="31"/>
      <c r="P84" s="31"/>
      <c r="Q84" s="31"/>
      <c r="R84" s="31"/>
      <c r="S84" s="31"/>
      <c r="T84" s="2"/>
    </row>
    <row r="85" spans="1:20" ht="5.0999999999999996" hidden="1" customHeight="1" x14ac:dyDescent="0.25">
      <c r="A85" s="33"/>
      <c r="L85" s="35"/>
      <c r="M85" s="31"/>
      <c r="N85" s="31"/>
      <c r="O85" s="31"/>
      <c r="P85" s="31"/>
      <c r="Q85" s="31"/>
      <c r="R85" s="31"/>
      <c r="S85" s="31"/>
      <c r="T85" s="2"/>
    </row>
    <row r="86" spans="1:20" ht="15" hidden="1" customHeight="1" x14ac:dyDescent="0.25">
      <c r="A86" s="33"/>
      <c r="B86" s="41" t="str">
        <f>IF(Start!D5="Deutsch","Gesamt-Klebstoff-Kilogrammpreis inklusive Nebenkosten:","Total adhesive price per kilogram including additional costs:")</f>
        <v>Gesamt-Klebstoff-Kilogrammpreis inklusive Nebenkosten:</v>
      </c>
      <c r="G86" s="43">
        <f>IF(OR(J27="",G84=""),"",G84+J27)</f>
        <v>5.5640779350702516</v>
      </c>
      <c r="H86" s="32" t="s">
        <v>7</v>
      </c>
      <c r="J86" s="43">
        <f>IF(OR(J27="",J84=""),"",J84+J27)</f>
        <v>5.4863905547911145</v>
      </c>
      <c r="K86" s="32" t="s">
        <v>7</v>
      </c>
      <c r="L86" s="35"/>
      <c r="M86" s="31"/>
      <c r="N86" s="31"/>
      <c r="O86" s="31"/>
      <c r="P86" s="31"/>
      <c r="Q86" s="31"/>
      <c r="R86" s="31"/>
      <c r="S86" s="31"/>
    </row>
    <row r="87" spans="1:20" ht="5.0999999999999996" hidden="1" customHeight="1" x14ac:dyDescent="0.25">
      <c r="A87" s="33"/>
      <c r="L87" s="35"/>
      <c r="M87" s="31"/>
      <c r="N87" s="31"/>
      <c r="O87" s="31"/>
      <c r="P87" s="31"/>
      <c r="Q87" s="31"/>
      <c r="R87" s="31"/>
      <c r="S87" s="31"/>
    </row>
    <row r="88" spans="1:20" ht="15" hidden="1" customHeight="1" x14ac:dyDescent="0.25">
      <c r="A88" s="33"/>
      <c r="B88" s="41" t="str">
        <f>IF(Start!D5="Deutsch","Gesamtkosten für den Klebstoffbedarf pro Jahr:","Total cost of adhesive requirements per year:")</f>
        <v>Gesamtkosten für den Klebstoffbedarf pro Jahr:</v>
      </c>
      <c r="G88" s="56">
        <f>IF(OR(G80="",G86=""),"",G80*1000*G86)</f>
        <v>1074073.7769125372</v>
      </c>
      <c r="H88" s="32" t="s">
        <v>6</v>
      </c>
      <c r="J88" s="56">
        <f>IF(OR(J80="",J86=""),"",J80*1000*J86)</f>
        <v>1004173.3498700055</v>
      </c>
      <c r="K88" s="32" t="s">
        <v>6</v>
      </c>
      <c r="L88" s="35"/>
      <c r="M88" s="31"/>
      <c r="N88" s="31"/>
      <c r="O88" s="31"/>
      <c r="P88" s="31"/>
      <c r="Q88" s="31"/>
      <c r="R88" s="31"/>
      <c r="S88" s="31"/>
    </row>
    <row r="89" spans="1:20" ht="9.9499999999999993" hidden="1" customHeight="1" x14ac:dyDescent="0.25">
      <c r="A89" s="33"/>
      <c r="B89" s="41"/>
      <c r="L89" s="35"/>
      <c r="M89" s="31"/>
      <c r="N89" s="31"/>
      <c r="O89" s="31"/>
      <c r="P89" s="31"/>
      <c r="Q89" s="31"/>
      <c r="R89" s="31"/>
      <c r="S89" s="31"/>
    </row>
    <row r="90" spans="1:20" ht="18.75" x14ac:dyDescent="0.3">
      <c r="A90" s="33"/>
      <c r="B90" s="38" t="str">
        <f>IF(Start!D5="Deutsch","Potenzielle Einsparung bei der Klebstoffverarbeitung","Potential savings in adhesive processing")</f>
        <v>Potenzielle Einsparung bei der Klebstoffverarbeitung</v>
      </c>
      <c r="C90" s="39"/>
      <c r="D90" s="39"/>
      <c r="E90" s="39"/>
      <c r="F90" s="39"/>
      <c r="G90" s="39"/>
      <c r="H90" s="39"/>
      <c r="I90" s="39"/>
      <c r="J90" s="39"/>
      <c r="K90" s="40"/>
      <c r="L90" s="35"/>
      <c r="M90" s="31"/>
      <c r="N90" s="31"/>
      <c r="O90" s="31"/>
      <c r="P90" s="31"/>
      <c r="Q90" s="31"/>
      <c r="R90" s="23"/>
      <c r="S90" s="31"/>
    </row>
    <row r="91" spans="1:20" ht="9.9499999999999993" customHeight="1" x14ac:dyDescent="0.25">
      <c r="A91" s="33"/>
      <c r="L91" s="35"/>
      <c r="M91" s="31"/>
      <c r="N91" s="31"/>
      <c r="O91" s="31"/>
      <c r="P91" s="31"/>
      <c r="Q91" s="31"/>
      <c r="R91" s="31"/>
      <c r="S91" s="31"/>
    </row>
    <row r="92" spans="1:20" x14ac:dyDescent="0.25">
      <c r="A92" s="33"/>
      <c r="B92" s="48" t="str">
        <f>IF(Start!D5="Deutsch","jährliche Gesamteinsparung:","Overall savings per year:")</f>
        <v>jährliche Gesamteinsparung:</v>
      </c>
      <c r="G92" s="57">
        <f>IF(OR(G88="",J88=""),"",G82-J82)</f>
        <v>191</v>
      </c>
      <c r="H92" s="45" t="str">
        <f>IF(Start!D5="Deutsch"," Fässer"," drums")</f>
        <v xml:space="preserve"> Fässer</v>
      </c>
      <c r="J92" s="57">
        <f>IF(OR(G88="",J88=""),"",G88-J88)</f>
        <v>69900.427042531664</v>
      </c>
      <c r="K92" s="45" t="s">
        <v>6</v>
      </c>
      <c r="L92" s="35"/>
      <c r="M92" s="31"/>
      <c r="N92" s="31"/>
      <c r="O92" s="31"/>
      <c r="P92" s="31"/>
      <c r="Q92" s="31"/>
      <c r="R92" s="31"/>
      <c r="S92" s="31"/>
    </row>
    <row r="93" spans="1:20" ht="9.9499999999999993" customHeight="1" x14ac:dyDescent="0.25">
      <c r="A93" s="58"/>
      <c r="B93" s="59"/>
      <c r="C93" s="60"/>
      <c r="D93" s="60"/>
      <c r="E93" s="60"/>
      <c r="F93" s="60"/>
      <c r="G93" s="60"/>
      <c r="H93" s="60"/>
      <c r="I93" s="60"/>
      <c r="J93" s="60"/>
      <c r="K93" s="60"/>
      <c r="L93" s="61"/>
      <c r="M93" s="31"/>
      <c r="N93" s="31"/>
      <c r="O93" s="31"/>
      <c r="P93" s="31"/>
      <c r="Q93" s="31"/>
      <c r="R93" s="31"/>
      <c r="S93" s="31"/>
    </row>
    <row r="94" spans="1:20" ht="39.950000000000003" customHeight="1" x14ac:dyDescent="0.25">
      <c r="A94" s="16" t="str">
        <f>IF(Start!D5="Deutsch"," ←   zurück zur Startseite"," ←   back to start")</f>
        <v xml:space="preserve"> ←   zurück zur Startseite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31"/>
      <c r="N94" s="31"/>
      <c r="O94" s="31"/>
      <c r="P94" s="31"/>
      <c r="Q94" s="31"/>
      <c r="R94" s="31"/>
      <c r="S94" s="31"/>
    </row>
    <row r="95" spans="1:20" x14ac:dyDescent="0.25">
      <c r="G95" s="62"/>
    </row>
    <row r="96" spans="1:20" x14ac:dyDescent="0.25">
      <c r="B96" s="41"/>
    </row>
    <row r="97" spans="6:6" x14ac:dyDescent="0.25">
      <c r="F97" s="63"/>
    </row>
  </sheetData>
  <sheetProtection algorithmName="SHA-512" hashValue="Jy5NZVEhY63ufAPbWUcfmi64v9maTJCahduv85gax5nh4dknJJk5UxahbKhQlQ+KSunKY5ygezqex/jtTAIzhA==" saltValue="lsa9C4S1tpQDsn7TBxl9WA==" spinCount="100000" sheet="1" selectLockedCells="1"/>
  <mergeCells count="20">
    <mergeCell ref="B90:K90"/>
    <mergeCell ref="A94:L94"/>
    <mergeCell ref="I61:K61"/>
    <mergeCell ref="B63:F64"/>
    <mergeCell ref="B72:K72"/>
    <mergeCell ref="B74:E74"/>
    <mergeCell ref="F74:H74"/>
    <mergeCell ref="I74:K74"/>
    <mergeCell ref="B45:K45"/>
    <mergeCell ref="D47:F47"/>
    <mergeCell ref="D51:F51"/>
    <mergeCell ref="B57:K57"/>
    <mergeCell ref="F59:H59"/>
    <mergeCell ref="I59:K59"/>
    <mergeCell ref="A1:D1"/>
    <mergeCell ref="E1:L1"/>
    <mergeCell ref="B3:K3"/>
    <mergeCell ref="B15:K15"/>
    <mergeCell ref="B25:K25"/>
    <mergeCell ref="B29:K29"/>
  </mergeCells>
  <hyperlinks>
    <hyperlink ref="A94:L94" location="Start!D5" display="Start!D5" xr:uid="{0CC520F4-191F-49F3-B41B-4EA17CA12150}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ED2B160-DA7A-4D7A-BE40-18D72C97A7D3}">
          <x14:formula1>
            <xm:f>Start!$C$16:$C$17</xm:f>
          </x14:formula1>
          <xm:sqref>D47 D51</xm:sqref>
        </x14:dataValidation>
        <x14:dataValidation type="list" allowBlank="1" showInputMessage="1" showErrorMessage="1" xr:uid="{CCCEA0B4-37D7-4C8D-81E7-78FB80DB5AEA}">
          <x14:formula1>
            <xm:f>Start!$D$16:$D$19</xm:f>
          </x14:formula1>
          <xm:sqref>I61:K61</xm:sqref>
        </x14:dataValidation>
        <x14:dataValidation type="list" allowBlank="1" showInputMessage="1" showErrorMessage="1" xr:uid="{A81AAD91-BF86-4550-A3BF-6896370A2365}">
          <x14:formula1>
            <xm:f>Start!$G$16:$G$17</xm:f>
          </x14:formula1>
          <xm:sqref>B74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B8D60-284F-4BF1-BE27-AD90A803FC0A}">
  <sheetPr>
    <outlinePr summaryBelow="0"/>
    <pageSetUpPr autoPageBreaks="0" fitToPage="1"/>
  </sheetPr>
  <dimension ref="A1:AC97"/>
  <sheetViews>
    <sheetView showGridLines="0" showRowColHeaders="0" zoomScaleNormal="100" workbookViewId="0">
      <selection activeCell="J5" sqref="J5"/>
    </sheetView>
  </sheetViews>
  <sheetFormatPr baseColWidth="10" defaultColWidth="11.42578125" defaultRowHeight="15" x14ac:dyDescent="0.25"/>
  <cols>
    <col min="1" max="1" width="2.7109375" style="32" customWidth="1"/>
    <col min="2" max="2" width="11.7109375" style="34" customWidth="1"/>
    <col min="3" max="11" width="11.7109375" style="32" customWidth="1"/>
    <col min="12" max="12" width="2.7109375" style="32" customWidth="1"/>
    <col min="13" max="16" width="11.42578125" style="32"/>
    <col min="17" max="17" width="51.5703125" style="32" bestFit="1" customWidth="1"/>
    <col min="18" max="18" width="26.85546875" style="32" bestFit="1" customWidth="1"/>
    <col min="19" max="20" width="11.42578125" style="32"/>
    <col min="21" max="21" width="34.7109375" style="32" bestFit="1" customWidth="1"/>
    <col min="22" max="16384" width="11.42578125" style="32"/>
  </cols>
  <sheetData>
    <row r="1" spans="1:29" ht="60" customHeight="1" x14ac:dyDescent="0.25">
      <c r="A1" s="27"/>
      <c r="B1" s="28"/>
      <c r="C1" s="28"/>
      <c r="D1" s="28"/>
      <c r="E1" s="29" t="str">
        <f>IF(Start!D5="Deutsch","Ersparnisrechner / Klebstoff-Prozessnebenkosten","Savings calculator / Adhesive process costs")</f>
        <v>Ersparnisrechner / Klebstoff-Prozessnebenkosten</v>
      </c>
      <c r="F1" s="29"/>
      <c r="G1" s="29"/>
      <c r="H1" s="29"/>
      <c r="I1" s="29"/>
      <c r="J1" s="29"/>
      <c r="K1" s="29"/>
      <c r="L1" s="30"/>
      <c r="M1" s="31"/>
      <c r="N1" s="31"/>
      <c r="O1" s="31"/>
      <c r="P1" s="31"/>
      <c r="Q1" s="31"/>
      <c r="R1" s="31"/>
      <c r="S1" s="31"/>
      <c r="V1" s="31"/>
      <c r="W1" s="31"/>
      <c r="AA1" s="31"/>
      <c r="AB1" s="31"/>
      <c r="AC1" s="31"/>
    </row>
    <row r="2" spans="1:29" ht="15" customHeight="1" x14ac:dyDescent="0.25">
      <c r="A2" s="33"/>
      <c r="L2" s="35"/>
      <c r="M2" s="31"/>
      <c r="N2" s="36"/>
      <c r="O2" s="37"/>
      <c r="P2" s="31"/>
      <c r="Q2" s="31"/>
      <c r="R2" s="31"/>
      <c r="S2" s="31"/>
      <c r="V2" s="31"/>
      <c r="W2" s="31"/>
      <c r="AA2" s="31"/>
      <c r="AB2" s="31"/>
      <c r="AC2" s="31"/>
    </row>
    <row r="3" spans="1:29" ht="18.75" x14ac:dyDescent="0.3">
      <c r="A3" s="33"/>
      <c r="B3" s="38" t="str">
        <f>IF(Start!D5="Deutsch","Gebinde- bzw. Materialdaten","Container and adhesive data")</f>
        <v>Gebinde- bzw. Materialdaten</v>
      </c>
      <c r="C3" s="39" t="s">
        <v>0</v>
      </c>
      <c r="D3" s="39"/>
      <c r="E3" s="39"/>
      <c r="F3" s="39"/>
      <c r="G3" s="39"/>
      <c r="H3" s="39"/>
      <c r="I3" s="39"/>
      <c r="J3" s="39"/>
      <c r="K3" s="40"/>
      <c r="L3" s="35"/>
      <c r="M3" s="31"/>
      <c r="N3" s="36"/>
      <c r="O3" s="31"/>
      <c r="P3" s="31"/>
      <c r="Q3" s="31"/>
      <c r="R3" s="31"/>
      <c r="S3" s="31"/>
      <c r="V3" s="31"/>
      <c r="W3" s="31"/>
      <c r="Z3" s="31"/>
      <c r="AA3" s="31"/>
      <c r="AB3" s="31"/>
      <c r="AC3" s="31"/>
    </row>
    <row r="4" spans="1:29" ht="9.9499999999999993" customHeight="1" x14ac:dyDescent="0.25">
      <c r="A4" s="33"/>
      <c r="L4" s="35"/>
      <c r="M4" s="31"/>
      <c r="N4" s="31"/>
      <c r="O4" s="31"/>
      <c r="P4" s="31"/>
      <c r="Q4" s="31"/>
      <c r="R4" s="31"/>
      <c r="S4" s="31"/>
      <c r="V4" s="31"/>
      <c r="W4" s="31"/>
      <c r="Z4" s="31"/>
      <c r="AA4" s="31"/>
      <c r="AB4" s="31"/>
      <c r="AC4" s="31"/>
    </row>
    <row r="5" spans="1:29" x14ac:dyDescent="0.25">
      <c r="A5" s="33"/>
      <c r="B5" s="41" t="str">
        <f>IF(Start!D5="Deutsch","Fass-Innendurchmesser:","Drum inner diameter:")</f>
        <v>Fass-Innendurchmesser:</v>
      </c>
      <c r="J5" s="6">
        <v>571</v>
      </c>
      <c r="K5" s="32" t="s">
        <v>5</v>
      </c>
      <c r="L5" s="35"/>
      <c r="M5" s="31"/>
      <c r="N5" s="31"/>
      <c r="O5" s="31"/>
      <c r="P5" s="31"/>
      <c r="Q5" s="31"/>
      <c r="R5" s="31"/>
      <c r="S5" s="31"/>
      <c r="V5" s="31"/>
      <c r="W5" s="31"/>
    </row>
    <row r="6" spans="1:29" ht="5.0999999999999996" customHeight="1" x14ac:dyDescent="0.25">
      <c r="A6" s="33"/>
      <c r="B6" s="42"/>
      <c r="L6" s="35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spans="1:29" ht="15" customHeight="1" x14ac:dyDescent="0.25">
      <c r="A7" s="33"/>
      <c r="B7" s="41" t="str">
        <f>IF(Start!D5="Deutsch","Fasshöhe - Gesamthöhe bis zur Fassoberkante:","Drum height - total height to the top of the drum:")</f>
        <v>Fasshöhe - Gesamthöhe bis zur Fassoberkante:</v>
      </c>
      <c r="J7" s="6">
        <v>895</v>
      </c>
      <c r="K7" s="32" t="s">
        <v>5</v>
      </c>
      <c r="L7" s="35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9" ht="5.0999999999999996" customHeight="1" x14ac:dyDescent="0.25">
      <c r="A8" s="33"/>
      <c r="L8" s="35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spans="1:29" x14ac:dyDescent="0.25">
      <c r="A9" s="33"/>
      <c r="B9" s="42" t="str">
        <f>IF(Start!D5="Deutsch","Inhaltsverlust durch Fassbodenhöhe (konstruktiv):","Loss of content due to drum bottom height (structural):")</f>
        <v>Inhaltsverlust durch Fassbodenhöhe (konstruktiv):</v>
      </c>
      <c r="J9" s="6">
        <v>10</v>
      </c>
      <c r="K9" s="32" t="s">
        <v>5</v>
      </c>
      <c r="L9" s="35"/>
      <c r="M9" s="31"/>
      <c r="N9" s="31"/>
      <c r="O9" s="31"/>
      <c r="P9" s="31"/>
      <c r="Q9" s="31"/>
      <c r="R9" s="31"/>
      <c r="S9" s="31"/>
      <c r="T9" s="31"/>
      <c r="U9" s="31"/>
      <c r="V9" s="31"/>
    </row>
    <row r="10" spans="1:29" ht="5.0999999999999996" customHeight="1" x14ac:dyDescent="0.25">
      <c r="A10" s="33"/>
      <c r="B10" s="42"/>
      <c r="L10" s="35"/>
      <c r="M10" s="31"/>
      <c r="N10" s="31"/>
      <c r="O10" s="31"/>
      <c r="P10" s="31"/>
      <c r="Q10" s="31"/>
      <c r="R10" s="31"/>
      <c r="S10" s="31"/>
      <c r="T10" s="31"/>
      <c r="U10" s="31"/>
    </row>
    <row r="11" spans="1:29" x14ac:dyDescent="0.25">
      <c r="A11" s="33"/>
      <c r="B11" s="41" t="str">
        <f>IF(Start!D5="Deutsch","Gesamt-Fassungsvermögen (Fassvolumen):","Total capacity (drum volume):")</f>
        <v>Gesamt-Fassungsvermögen (Fassvolumen):</v>
      </c>
      <c r="J11" s="43">
        <f>IF(OR(J5="",J7="",J9=""),"",((J5/200)*(J5/200)*3.14159)*((J7-J9)/100))</f>
        <v>226.62353087328751</v>
      </c>
      <c r="K11" s="32" t="str">
        <f>IF(Start!D5="Deutsch"," Liter"," liter")</f>
        <v xml:space="preserve"> Liter</v>
      </c>
      <c r="L11" s="35"/>
      <c r="M11" s="31"/>
      <c r="N11" s="31"/>
      <c r="O11" s="31"/>
      <c r="P11" s="31"/>
      <c r="Q11" s="31"/>
      <c r="R11" s="31"/>
      <c r="S11" s="31"/>
      <c r="T11" s="31"/>
      <c r="U11" s="31"/>
    </row>
    <row r="12" spans="1:29" ht="15" customHeight="1" x14ac:dyDescent="0.25">
      <c r="A12" s="33"/>
      <c r="L12" s="35"/>
      <c r="M12" s="31"/>
      <c r="N12" s="31"/>
      <c r="O12" s="31"/>
      <c r="P12" s="31"/>
      <c r="Q12" s="31"/>
      <c r="R12" s="31"/>
      <c r="S12" s="31"/>
      <c r="T12" s="31"/>
      <c r="U12" s="31"/>
    </row>
    <row r="13" spans="1:29" ht="15" customHeight="1" x14ac:dyDescent="0.25">
      <c r="A13" s="33"/>
      <c r="B13" s="41" t="str">
        <f>IF(Start!D5="Deutsch","Klebstoffdichte:","Adhesive density:")</f>
        <v>Klebstoffdichte:</v>
      </c>
      <c r="J13" s="4">
        <v>1</v>
      </c>
      <c r="K13" s="32" t="s">
        <v>3</v>
      </c>
      <c r="L13" s="35"/>
      <c r="M13" s="31"/>
      <c r="N13" s="31"/>
      <c r="O13" s="31"/>
      <c r="P13" s="31"/>
      <c r="Q13" s="31"/>
      <c r="R13" s="31"/>
      <c r="S13" s="31"/>
      <c r="T13" s="31"/>
      <c r="U13" s="31"/>
    </row>
    <row r="14" spans="1:29" ht="9.9499999999999993" customHeight="1" x14ac:dyDescent="0.25">
      <c r="A14" s="33"/>
      <c r="L14" s="35"/>
      <c r="M14" s="31"/>
      <c r="N14" s="31"/>
      <c r="O14" s="31"/>
      <c r="P14" s="31"/>
      <c r="Q14" s="31"/>
      <c r="R14" s="31"/>
      <c r="S14" s="31"/>
      <c r="T14" s="31"/>
      <c r="U14" s="31"/>
    </row>
    <row r="15" spans="1:29" ht="18.75" x14ac:dyDescent="0.3">
      <c r="A15" s="33"/>
      <c r="B15" s="38" t="str">
        <f>IF(Start!D5="Deutsch","Durchschnittlicher Klebstoffbedarf im Prozess","Average adhesive requirement in the process")</f>
        <v>Durchschnittlicher Klebstoffbedarf im Prozess</v>
      </c>
      <c r="C15" s="39"/>
      <c r="D15" s="39"/>
      <c r="E15" s="39"/>
      <c r="F15" s="39"/>
      <c r="G15" s="39"/>
      <c r="H15" s="39"/>
      <c r="I15" s="39"/>
      <c r="J15" s="39"/>
      <c r="K15" s="40"/>
      <c r="L15" s="35"/>
      <c r="M15" s="31"/>
      <c r="N15" s="31"/>
      <c r="O15" s="31"/>
      <c r="P15" s="31"/>
      <c r="Q15" s="31"/>
      <c r="R15" s="31"/>
      <c r="S15" s="31"/>
      <c r="T15" s="31"/>
      <c r="U15" s="31"/>
    </row>
    <row r="16" spans="1:29" ht="9.9499999999999993" customHeight="1" x14ac:dyDescent="0.25">
      <c r="A16" s="33"/>
      <c r="L16" s="35"/>
      <c r="M16" s="31"/>
      <c r="N16" s="31"/>
      <c r="O16" s="31"/>
      <c r="P16" s="44"/>
      <c r="Q16" s="31"/>
      <c r="R16" s="31"/>
      <c r="S16" s="31"/>
      <c r="T16" s="31"/>
      <c r="U16" s="31"/>
    </row>
    <row r="17" spans="1:20" x14ac:dyDescent="0.25">
      <c r="A17" s="33"/>
      <c r="B17" s="41" t="str">
        <f>IF(Start!D5="Deutsch","Klebstoffverbrauch pro Stunde:","Adhesive consumption per hour:")</f>
        <v>Klebstoffverbrauch pro Stunde:</v>
      </c>
      <c r="J17" s="1">
        <v>100</v>
      </c>
      <c r="K17" s="32" t="s">
        <v>8</v>
      </c>
      <c r="L17" s="35"/>
      <c r="M17" s="31"/>
      <c r="N17" s="31"/>
      <c r="O17" s="31"/>
      <c r="P17" s="31"/>
      <c r="Q17" s="31"/>
      <c r="R17" s="31"/>
      <c r="S17" s="31"/>
      <c r="T17" s="2"/>
    </row>
    <row r="18" spans="1:20" ht="4.5" customHeight="1" x14ac:dyDescent="0.25">
      <c r="A18" s="33"/>
      <c r="J18" s="45"/>
      <c r="L18" s="35"/>
      <c r="M18" s="31"/>
      <c r="N18" s="31"/>
      <c r="O18" s="31"/>
      <c r="P18" s="31"/>
      <c r="Q18" s="31"/>
      <c r="R18" s="31"/>
      <c r="S18" s="31"/>
    </row>
    <row r="19" spans="1:20" x14ac:dyDescent="0.25">
      <c r="A19" s="33"/>
      <c r="B19" s="41" t="str">
        <f>IF(Start!D5="Deutsch","durchschn. Maschinen- bzw. Produktionszeit pro Woche:","Average machine or production time per week:")</f>
        <v>durchschn. Maschinen- bzw. Produktionszeit pro Woche:</v>
      </c>
      <c r="J19" s="1">
        <v>35</v>
      </c>
      <c r="K19" s="32" t="str">
        <f>IF(Start!D5="Deutsch"," h/Woche"," h/week")</f>
        <v xml:space="preserve"> h/Woche</v>
      </c>
      <c r="L19" s="35"/>
      <c r="M19" s="31"/>
      <c r="N19" s="31"/>
      <c r="O19" s="31"/>
      <c r="P19" s="44"/>
      <c r="Q19" s="31"/>
      <c r="R19" s="31"/>
      <c r="S19" s="31"/>
      <c r="T19" s="2"/>
    </row>
    <row r="20" spans="1:20" ht="4.5" customHeight="1" x14ac:dyDescent="0.25">
      <c r="A20" s="33"/>
      <c r="G20" s="45"/>
      <c r="I20" s="46"/>
      <c r="J20" s="46"/>
      <c r="K20" s="46"/>
      <c r="L20" s="35"/>
      <c r="M20" s="31"/>
      <c r="N20" s="31"/>
      <c r="O20" s="31"/>
      <c r="P20" s="31"/>
      <c r="Q20" s="31"/>
      <c r="R20" s="31"/>
      <c r="S20" s="31"/>
    </row>
    <row r="21" spans="1:20" x14ac:dyDescent="0.25">
      <c r="A21" s="33"/>
      <c r="B21" s="41" t="str">
        <f>IF(Start!D5="Deutsch","resultierender Netto-Klebstoffbedarf pro Monat:","Resulting net adhesive requirement per month:")</f>
        <v>resultierender Netto-Klebstoffbedarf pro Monat:</v>
      </c>
      <c r="J21" s="43">
        <f>IF(J23="","",J23/12)</f>
        <v>15.166666666666666</v>
      </c>
      <c r="K21" s="32" t="str">
        <f>IF(Start!D5="Deutsch"," t/Monat"," t/month")</f>
        <v xml:space="preserve"> t/Monat</v>
      </c>
      <c r="L21" s="35"/>
      <c r="M21" s="31"/>
      <c r="N21" s="31"/>
      <c r="O21" s="31"/>
      <c r="P21" s="44"/>
      <c r="Q21" s="31"/>
      <c r="R21" s="31"/>
      <c r="S21" s="31"/>
      <c r="T21" s="2"/>
    </row>
    <row r="22" spans="1:20" ht="4.5" customHeight="1" x14ac:dyDescent="0.25">
      <c r="A22" s="33"/>
      <c r="I22" s="46"/>
      <c r="J22" s="45"/>
      <c r="L22" s="35"/>
      <c r="M22" s="31"/>
      <c r="N22" s="31"/>
      <c r="O22" s="31"/>
      <c r="P22" s="31"/>
      <c r="Q22" s="31"/>
      <c r="R22" s="31"/>
      <c r="S22" s="31"/>
    </row>
    <row r="23" spans="1:20" x14ac:dyDescent="0.25">
      <c r="A23" s="33"/>
      <c r="B23" s="41" t="str">
        <f>IF(Start!D5="Deutsch","resultierender Netto-Klebstoffbedarf pro Jahr:","Resulting net adhesive requirement per year:")</f>
        <v>resultierender Netto-Klebstoffbedarf pro Jahr:</v>
      </c>
      <c r="J23" s="43">
        <f>IF(OR(J17="",J19=""),"",(J17*J19*52)/1000)</f>
        <v>182</v>
      </c>
      <c r="K23" s="32" t="str">
        <f>IF(Start!D5="Deutsch"," t/Jahr"," t/year")</f>
        <v xml:space="preserve"> t/Jahr</v>
      </c>
      <c r="L23" s="35"/>
      <c r="M23" s="31"/>
      <c r="N23" s="31"/>
      <c r="O23" s="31"/>
      <c r="P23" s="31"/>
      <c r="Q23" s="31"/>
      <c r="R23" s="31"/>
      <c r="S23" s="31"/>
      <c r="T23" s="2"/>
    </row>
    <row r="24" spans="1:20" ht="9.9499999999999993" customHeight="1" x14ac:dyDescent="0.25">
      <c r="A24" s="33"/>
      <c r="L24" s="35"/>
      <c r="M24" s="31"/>
      <c r="N24" s="31"/>
      <c r="O24" s="31"/>
      <c r="P24" s="44"/>
      <c r="Q24" s="31"/>
      <c r="R24" s="31"/>
      <c r="S24" s="31"/>
    </row>
    <row r="25" spans="1:20" ht="18.75" x14ac:dyDescent="0.3">
      <c r="A25" s="33"/>
      <c r="B25" s="38" t="str">
        <f>IF(Start!D5="Deutsch","Klebstoffpreis","Adhesive price")</f>
        <v>Klebstoffpreis</v>
      </c>
      <c r="C25" s="39"/>
      <c r="D25" s="39"/>
      <c r="E25" s="39"/>
      <c r="F25" s="39"/>
      <c r="G25" s="39"/>
      <c r="H25" s="39"/>
      <c r="I25" s="39"/>
      <c r="J25" s="39"/>
      <c r="K25" s="40"/>
      <c r="L25" s="35"/>
      <c r="M25" s="31"/>
      <c r="N25" s="31"/>
      <c r="O25" s="31"/>
      <c r="P25" s="31"/>
      <c r="Q25" s="31"/>
      <c r="R25" s="31"/>
      <c r="S25" s="31"/>
    </row>
    <row r="26" spans="1:20" ht="9.9499999999999993" customHeight="1" x14ac:dyDescent="0.25">
      <c r="A26" s="33"/>
      <c r="B26" s="41"/>
      <c r="L26" s="35"/>
      <c r="M26" s="31"/>
      <c r="N26" s="31"/>
      <c r="O26" s="31"/>
      <c r="P26" s="31"/>
      <c r="Q26" s="31"/>
      <c r="R26" s="31"/>
      <c r="S26" s="31"/>
    </row>
    <row r="27" spans="1:20" x14ac:dyDescent="0.25">
      <c r="A27" s="33"/>
      <c r="B27" s="41" t="str">
        <f>IF(Start!D5="Deutsch","Kilopreis für den eingesetzten Klebstoff:","Price per kilo for the adhesive used:")</f>
        <v>Kilopreis für den eingesetzten Klebstoff:</v>
      </c>
      <c r="J27" s="3">
        <v>5</v>
      </c>
      <c r="K27" s="32" t="s">
        <v>7</v>
      </c>
      <c r="L27" s="35"/>
      <c r="M27" s="31"/>
      <c r="N27" s="31"/>
      <c r="O27" s="31"/>
      <c r="P27" s="31"/>
      <c r="Q27" s="31"/>
      <c r="R27" s="31"/>
      <c r="S27" s="31"/>
      <c r="T27" s="2"/>
    </row>
    <row r="28" spans="1:20" ht="9.9499999999999993" customHeight="1" x14ac:dyDescent="0.25">
      <c r="A28" s="33"/>
      <c r="B28" s="41"/>
      <c r="L28" s="35"/>
      <c r="M28" s="31"/>
      <c r="N28" s="31"/>
      <c r="O28" s="31"/>
      <c r="P28" s="31"/>
      <c r="Q28" s="31"/>
      <c r="R28" s="31"/>
      <c r="S28" s="31"/>
    </row>
    <row r="29" spans="1:20" ht="18.75" x14ac:dyDescent="0.3">
      <c r="A29" s="33"/>
      <c r="B29" s="38" t="str">
        <f>IF(Start!D5="Deutsch","Kosten durch Nebenprozesse","Costs due to ancillary processes")</f>
        <v>Kosten durch Nebenprozesse</v>
      </c>
      <c r="C29" s="39"/>
      <c r="D29" s="39"/>
      <c r="E29" s="39"/>
      <c r="F29" s="39"/>
      <c r="G29" s="39"/>
      <c r="H29" s="39"/>
      <c r="I29" s="39"/>
      <c r="J29" s="39"/>
      <c r="K29" s="40"/>
      <c r="L29" s="35"/>
      <c r="M29" s="31"/>
      <c r="N29" s="31"/>
      <c r="O29" s="31"/>
      <c r="P29" s="31"/>
      <c r="Q29" s="31"/>
      <c r="R29" s="31"/>
      <c r="S29" s="31"/>
    </row>
    <row r="30" spans="1:20" ht="9.9499999999999993" customHeight="1" x14ac:dyDescent="0.25">
      <c r="A30" s="33"/>
      <c r="B30" s="41"/>
      <c r="L30" s="35"/>
      <c r="M30" s="31"/>
      <c r="N30" s="31"/>
      <c r="O30" s="31"/>
      <c r="P30" s="31"/>
      <c r="Q30" s="31"/>
      <c r="R30" s="31"/>
      <c r="S30" s="31"/>
    </row>
    <row r="31" spans="1:20" x14ac:dyDescent="0.25">
      <c r="A31" s="33"/>
      <c r="B31" s="41" t="str">
        <f>IF(Start!D5="Deutsch","Kosten für ein Leergebinde (leeres Fass):","Costs for an empty adhesive container (empty drum):")</f>
        <v>Kosten für ein Leergebinde (leeres Fass):</v>
      </c>
      <c r="J31" s="3">
        <v>40</v>
      </c>
      <c r="K31" s="32" t="str">
        <f>IF(Start!D5="Deutsch"," Euro/Fass"," Euro/drum")</f>
        <v xml:space="preserve"> Euro/Fass</v>
      </c>
      <c r="L31" s="35"/>
      <c r="M31" s="31"/>
      <c r="N31" s="31"/>
      <c r="O31" s="31"/>
      <c r="P31" s="44"/>
      <c r="Q31" s="31"/>
      <c r="R31" s="31"/>
      <c r="S31" s="31"/>
      <c r="T31" s="2"/>
    </row>
    <row r="32" spans="1:20" ht="4.5" customHeight="1" x14ac:dyDescent="0.25">
      <c r="A32" s="33"/>
      <c r="G32" s="45"/>
      <c r="I32" s="46"/>
      <c r="J32" s="46"/>
      <c r="K32" s="46"/>
      <c r="L32" s="35"/>
      <c r="M32" s="31"/>
      <c r="N32" s="31"/>
      <c r="O32" s="31"/>
      <c r="P32" s="31"/>
      <c r="Q32" s="31"/>
      <c r="R32" s="31"/>
      <c r="S32" s="31"/>
    </row>
    <row r="33" spans="1:29" x14ac:dyDescent="0.25">
      <c r="A33" s="33"/>
      <c r="B33" s="41" t="str">
        <f>IF(Start!D5="Deutsch","Entsorgungskosten für ein gebrauchtes Fass:","Disposal costs for a used drum:")</f>
        <v>Entsorgungskosten für ein gebrauchtes Fass:</v>
      </c>
      <c r="J33" s="3">
        <v>10</v>
      </c>
      <c r="K33" s="32" t="str">
        <f>IF(Start!D5="Deutsch"," Euro/Fass"," Euro/drum")</f>
        <v xml:space="preserve"> Euro/Fass</v>
      </c>
      <c r="L33" s="35"/>
      <c r="M33" s="31"/>
      <c r="N33" s="31"/>
      <c r="O33" s="31"/>
      <c r="P33" s="31"/>
      <c r="Q33" s="31"/>
      <c r="R33" s="31"/>
      <c r="S33" s="31"/>
      <c r="T33" s="2"/>
    </row>
    <row r="34" spans="1:29" ht="4.5" customHeight="1" x14ac:dyDescent="0.25">
      <c r="A34" s="33"/>
      <c r="G34" s="45"/>
      <c r="I34" s="46"/>
      <c r="J34" s="46"/>
      <c r="K34" s="46"/>
      <c r="L34" s="35"/>
      <c r="M34" s="31"/>
      <c r="N34" s="31"/>
      <c r="O34" s="31"/>
      <c r="P34" s="31"/>
      <c r="Q34" s="31"/>
      <c r="R34" s="31"/>
      <c r="S34" s="31"/>
    </row>
    <row r="35" spans="1:29" x14ac:dyDescent="0.25">
      <c r="A35" s="33"/>
      <c r="B35" s="41" t="str">
        <f>IF(Start!D5="Deutsch","Kosten für Fasstransport (Lieferkosten pro Fass):","Costs for drum transport (delivery costs per drum):")</f>
        <v>Kosten für Fasstransport (Lieferkosten pro Fass):</v>
      </c>
      <c r="J35" s="3">
        <v>30</v>
      </c>
      <c r="K35" s="32" t="str">
        <f>IF(Start!D5="Deutsch"," Euro/Fass"," Euro/drum")</f>
        <v xml:space="preserve"> Euro/Fass</v>
      </c>
      <c r="L35" s="35"/>
      <c r="M35" s="31"/>
      <c r="N35" s="31"/>
      <c r="O35" s="31"/>
      <c r="P35" s="44"/>
      <c r="Q35" s="31"/>
      <c r="R35" s="31"/>
      <c r="S35" s="31"/>
      <c r="T35" s="2"/>
    </row>
    <row r="36" spans="1:29" ht="4.5" customHeight="1" x14ac:dyDescent="0.25">
      <c r="A36" s="33"/>
      <c r="L36" s="35"/>
      <c r="M36" s="31"/>
      <c r="N36" s="31"/>
      <c r="O36" s="31"/>
      <c r="P36" s="31"/>
      <c r="Q36" s="31"/>
      <c r="R36" s="31"/>
      <c r="S36" s="31"/>
    </row>
    <row r="37" spans="1:29" x14ac:dyDescent="0.25">
      <c r="A37" s="33"/>
      <c r="B37" s="41" t="str">
        <f>IF(Start!D5="Deutsch","Lagerkosten pro Fass:","Storage costs per drum:")</f>
        <v>Lagerkosten pro Fass:</v>
      </c>
      <c r="J37" s="3">
        <v>10</v>
      </c>
      <c r="K37" s="32" t="str">
        <f>IF(Start!D5="Deutsch"," Euro/Fass"," Euro/drum")</f>
        <v xml:space="preserve"> Euro/Fass</v>
      </c>
      <c r="L37" s="35"/>
      <c r="M37" s="31"/>
      <c r="N37" s="31"/>
      <c r="O37" s="31"/>
      <c r="P37" s="31"/>
      <c r="Q37" s="31"/>
      <c r="R37" s="31"/>
      <c r="S37" s="31"/>
      <c r="T37" s="2"/>
    </row>
    <row r="38" spans="1:29" ht="4.5" customHeight="1" x14ac:dyDescent="0.25">
      <c r="A38" s="33"/>
      <c r="L38" s="35"/>
      <c r="M38" s="31"/>
      <c r="N38" s="31"/>
      <c r="O38" s="31"/>
      <c r="P38" s="31"/>
      <c r="Q38" s="31"/>
      <c r="R38" s="31"/>
      <c r="S38" s="31"/>
    </row>
    <row r="39" spans="1:29" x14ac:dyDescent="0.25">
      <c r="A39" s="33"/>
      <c r="B39" s="41" t="str">
        <f>IF(Start!D5="Deutsch","innerbetriebliche Transportkosten pro Fass:","Internal transport costs per drum:")</f>
        <v>innerbetriebliche Transportkosten pro Fass:</v>
      </c>
      <c r="J39" s="3">
        <v>10</v>
      </c>
      <c r="K39" s="32" t="str">
        <f>IF(Start!D5="Deutsch"," Euro/Fass"," Euro/drum")</f>
        <v xml:space="preserve"> Euro/Fass</v>
      </c>
      <c r="L39" s="35"/>
      <c r="M39" s="31"/>
      <c r="N39" s="31"/>
      <c r="O39" s="31"/>
      <c r="P39" s="44"/>
      <c r="Q39" s="31"/>
      <c r="R39" s="31"/>
      <c r="S39" s="31"/>
      <c r="T39" s="2"/>
    </row>
    <row r="40" spans="1:29" ht="4.5" customHeight="1" x14ac:dyDescent="0.25">
      <c r="A40" s="33"/>
      <c r="J40" s="47"/>
      <c r="L40" s="35"/>
      <c r="M40" s="31"/>
      <c r="N40" s="31"/>
      <c r="O40" s="31"/>
      <c r="P40" s="31"/>
      <c r="Q40" s="31"/>
      <c r="R40" s="31"/>
      <c r="S40" s="31"/>
    </row>
    <row r="41" spans="1:29" x14ac:dyDescent="0.25">
      <c r="A41" s="33"/>
      <c r="B41" s="41" t="str">
        <f>IF(Start!D5="Deutsch","Kosten des Werkers (5 Min. für einen Fasswechsel):","Worker costs (5 minutes for a drum change):")</f>
        <v>Kosten des Werkers (5 Min. für einen Fasswechsel):</v>
      </c>
      <c r="J41" s="3">
        <v>4</v>
      </c>
      <c r="K41" s="32" t="str">
        <f>IF(Start!D5="Deutsch"," Euro/Fass"," Euro/drum")</f>
        <v xml:space="preserve"> Euro/Fass</v>
      </c>
      <c r="L41" s="35"/>
      <c r="M41" s="31"/>
      <c r="N41" s="31"/>
      <c r="O41" s="31"/>
      <c r="P41" s="31"/>
      <c r="Q41" s="31"/>
      <c r="R41" s="31"/>
      <c r="S41" s="31"/>
      <c r="T41" s="2"/>
    </row>
    <row r="42" spans="1:29" ht="4.5" customHeight="1" x14ac:dyDescent="0.25">
      <c r="A42" s="33"/>
      <c r="L42" s="35"/>
      <c r="M42" s="31"/>
      <c r="N42" s="31"/>
      <c r="O42" s="31"/>
      <c r="P42" s="31"/>
      <c r="Q42" s="31"/>
      <c r="R42" s="31"/>
      <c r="S42" s="31"/>
    </row>
    <row r="43" spans="1:29" x14ac:dyDescent="0.25">
      <c r="A43" s="33"/>
      <c r="B43" s="41" t="str">
        <f>IF(Start!D5="Deutsch","Summe der Nebenkosten pro Fass:","Total additional costs per drum:")</f>
        <v>Summe der Nebenkosten pro Fass:</v>
      </c>
      <c r="J43" s="43">
        <f>IF(OR(J31="",J33="",J35="",J37="",J39="",J41=""),"",SUM(J31:J41))</f>
        <v>104</v>
      </c>
      <c r="K43" s="32" t="str">
        <f>IF(Start!D5="Deutsch"," Euro/Fass"," Euro/drum")</f>
        <v xml:space="preserve"> Euro/Fass</v>
      </c>
      <c r="L43" s="35"/>
      <c r="M43" s="31"/>
      <c r="N43" s="31"/>
      <c r="O43" s="31"/>
      <c r="P43" s="31"/>
      <c r="Q43" s="31"/>
      <c r="R43" s="31"/>
      <c r="S43" s="31"/>
      <c r="T43" s="2"/>
    </row>
    <row r="44" spans="1:29" ht="9.9499999999999993" customHeight="1" x14ac:dyDescent="0.25">
      <c r="A44" s="33"/>
      <c r="B44" s="41"/>
      <c r="L44" s="35"/>
      <c r="M44" s="31"/>
      <c r="N44" s="31"/>
      <c r="O44" s="31"/>
      <c r="P44" s="31"/>
      <c r="Q44" s="31"/>
      <c r="R44" s="31"/>
      <c r="S44" s="31"/>
    </row>
    <row r="45" spans="1:29" ht="18.75" x14ac:dyDescent="0.3">
      <c r="A45" s="33"/>
      <c r="B45" s="38" t="str">
        <f>IF(Start!D5="Deutsch","Befüllhöhe","Filling level")</f>
        <v>Befüllhöhe</v>
      </c>
      <c r="C45" s="39" t="s">
        <v>0</v>
      </c>
      <c r="D45" s="39"/>
      <c r="E45" s="39"/>
      <c r="F45" s="39"/>
      <c r="G45" s="39"/>
      <c r="H45" s="39"/>
      <c r="I45" s="39"/>
      <c r="J45" s="39"/>
      <c r="K45" s="40"/>
      <c r="L45" s="35"/>
      <c r="M45" s="31"/>
      <c r="N45" s="31"/>
      <c r="O45" s="31"/>
      <c r="P45" s="31"/>
      <c r="Q45" s="31"/>
      <c r="R45" s="31"/>
      <c r="S45" s="31"/>
      <c r="T45" s="31"/>
      <c r="U45" s="31"/>
    </row>
    <row r="46" spans="1:29" ht="9.9499999999999993" customHeight="1" x14ac:dyDescent="0.25">
      <c r="A46" s="33"/>
      <c r="L46" s="35"/>
      <c r="M46" s="31"/>
      <c r="N46" s="31"/>
      <c r="O46" s="31"/>
      <c r="P46" s="31"/>
      <c r="Q46" s="31"/>
      <c r="R46" s="31"/>
      <c r="S46" s="31"/>
      <c r="V46" s="31"/>
      <c r="W46" s="31"/>
      <c r="Z46" s="31"/>
      <c r="AA46" s="31"/>
      <c r="AB46" s="31"/>
      <c r="AC46" s="31"/>
    </row>
    <row r="47" spans="1:29" x14ac:dyDescent="0.25">
      <c r="A47" s="33"/>
      <c r="B47" s="48" t="str">
        <f>IF(Start!D5="Deutsch","aktuelle Befüllhöhe:","Current filling level:")</f>
        <v>aktuelle Befüllhöhe:</v>
      </c>
      <c r="D47" s="24" t="s">
        <v>10</v>
      </c>
      <c r="E47" s="25"/>
      <c r="F47" s="26"/>
      <c r="J47" s="6">
        <v>165</v>
      </c>
      <c r="K47" s="32" t="s">
        <v>5</v>
      </c>
      <c r="L47" s="35"/>
      <c r="M47" s="31"/>
      <c r="N47" s="31"/>
      <c r="O47" s="31"/>
      <c r="P47" s="31"/>
      <c r="Q47" s="31"/>
      <c r="R47" s="31"/>
      <c r="S47" s="31"/>
      <c r="T47" s="31"/>
      <c r="U47" s="31"/>
    </row>
    <row r="48" spans="1:29" ht="5.0999999999999996" customHeight="1" x14ac:dyDescent="0.25">
      <c r="A48" s="33"/>
      <c r="L48" s="35"/>
      <c r="M48" s="31"/>
      <c r="N48" s="31"/>
      <c r="O48" s="31"/>
      <c r="P48" s="31"/>
      <c r="Q48" s="31"/>
      <c r="R48" s="31"/>
      <c r="S48" s="31"/>
      <c r="T48" s="31"/>
      <c r="U48" s="31"/>
    </row>
    <row r="49" spans="1:21" x14ac:dyDescent="0.25">
      <c r="A49" s="33"/>
      <c r="B49" s="41" t="str">
        <f>IF(Start!D5="Deutsch","resultierende Klebstoffmenge pro Fass:","Resulting adhesive quantity per drum:")</f>
        <v>resultierende Klebstoffmenge pro Fass:</v>
      </c>
      <c r="J49" s="49">
        <f>IF(OR(J5="",J7="",J9="",J47="",D47=""),"",IF(OR(D47="Boden bis Klebstoffspiegel:",D47="Floor to adhesive level:"),((J5/200)*(J5/200)*3.14159)*((J47-J9)/100),((J5/200)*(J5/200)*3.14159)*((J7-J47-J9)/100)))</f>
        <v>184.37168613420002</v>
      </c>
      <c r="K49" s="32" t="str">
        <f>IF(Start!D5="Deutsch"," Liter"," liter")</f>
        <v xml:space="preserve"> Liter</v>
      </c>
      <c r="L49" s="35"/>
      <c r="M49" s="31"/>
      <c r="N49" s="31"/>
      <c r="O49" s="31"/>
      <c r="P49" s="31"/>
      <c r="Q49" s="31"/>
      <c r="R49" s="31"/>
      <c r="S49" s="31"/>
      <c r="T49" s="31"/>
      <c r="U49" s="31"/>
    </row>
    <row r="50" spans="1:21" ht="9.9499999999999993" customHeight="1" x14ac:dyDescent="0.25">
      <c r="A50" s="33"/>
      <c r="L50" s="35"/>
      <c r="M50" s="31"/>
      <c r="N50" s="31"/>
      <c r="O50" s="31"/>
      <c r="P50" s="31"/>
      <c r="Q50" s="31"/>
      <c r="R50" s="31"/>
      <c r="S50" s="31"/>
      <c r="T50" s="31"/>
      <c r="U50" s="31"/>
    </row>
    <row r="51" spans="1:21" x14ac:dyDescent="0.25">
      <c r="A51" s="33"/>
      <c r="B51" s="48" t="str">
        <f>IF(Start!D5="Deutsch","neue Befüllhöhe:","New filling level:")</f>
        <v>neue Befüllhöhe:</v>
      </c>
      <c r="D51" s="24" t="s">
        <v>10</v>
      </c>
      <c r="E51" s="25"/>
      <c r="F51" s="26"/>
      <c r="J51" s="6">
        <v>50</v>
      </c>
      <c r="K51" s="32" t="s">
        <v>5</v>
      </c>
      <c r="L51" s="35"/>
      <c r="M51" s="31"/>
      <c r="N51" s="31"/>
      <c r="P51" s="31"/>
      <c r="Q51" s="31"/>
      <c r="R51" s="31"/>
      <c r="S51" s="31"/>
      <c r="T51" s="31"/>
      <c r="U51" s="31"/>
    </row>
    <row r="52" spans="1:21" ht="5.0999999999999996" customHeight="1" x14ac:dyDescent="0.25">
      <c r="A52" s="33"/>
      <c r="L52" s="35"/>
      <c r="M52" s="31"/>
      <c r="N52" s="31"/>
      <c r="O52" s="31"/>
      <c r="P52" s="31"/>
      <c r="Q52" s="31"/>
      <c r="R52" s="31"/>
      <c r="S52" s="31"/>
      <c r="T52" s="31"/>
      <c r="U52" s="31"/>
    </row>
    <row r="53" spans="1:21" x14ac:dyDescent="0.25">
      <c r="A53" s="33"/>
      <c r="B53" s="41" t="str">
        <f>IF(Start!D5="Deutsch","resultierende Klebstoffmenge pro Fass:","Resulting adhesive quantity per drum:")</f>
        <v>resultierende Klebstoffmenge pro Fass:</v>
      </c>
      <c r="J53" s="49">
        <f>IF(OR(J5="",J7="",J9="",J51="",D51=""),"",IF(OR(D51="Boden bis Klebstoffspiegel:",D51="Floor to adhesive level:"),((J5/200)*(J5/200)*3.14159)*((J51-J9)/100),((J5/200)*(J5/200)*3.14159)*((J7-J51-J9)/100)))</f>
        <v>213.81994155841252</v>
      </c>
      <c r="K53" s="32" t="str">
        <f>IF(Start!D5="Deutsch"," Liter"," liter")</f>
        <v xml:space="preserve"> Liter</v>
      </c>
      <c r="L53" s="35"/>
      <c r="M53" s="31"/>
      <c r="N53" s="31"/>
      <c r="O53" s="31"/>
      <c r="P53" s="31"/>
      <c r="Q53" s="31"/>
      <c r="R53" s="31"/>
      <c r="S53" s="31"/>
      <c r="T53" s="31"/>
      <c r="U53" s="31"/>
    </row>
    <row r="54" spans="1:21" ht="9.9499999999999993" customHeight="1" x14ac:dyDescent="0.25">
      <c r="A54" s="33"/>
      <c r="L54" s="35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25">
      <c r="A55" s="33"/>
      <c r="B55" s="41" t="str">
        <f>IF(Start!D5="Deutsch","Befülldifferenz:","Filling differenz:")</f>
        <v>Befülldifferenz:</v>
      </c>
      <c r="J55" s="43">
        <f>IF(OR(J49="",J53=""),"",J53-J49)</f>
        <v>29.448255424212505</v>
      </c>
      <c r="K55" s="32" t="str">
        <f>IF(Start!D5="Deutsch"," Liter"," liter")</f>
        <v xml:space="preserve"> Liter</v>
      </c>
      <c r="L55" s="35"/>
      <c r="M55" s="31"/>
      <c r="N55" s="31"/>
      <c r="O55" s="31"/>
      <c r="P55" s="31"/>
      <c r="Q55" s="31"/>
      <c r="R55" s="31"/>
      <c r="S55" s="31"/>
    </row>
    <row r="56" spans="1:21" ht="9.9499999999999993" customHeight="1" x14ac:dyDescent="0.25">
      <c r="A56" s="33"/>
      <c r="L56" s="35"/>
      <c r="M56" s="31"/>
      <c r="N56" s="31"/>
      <c r="O56" s="31"/>
      <c r="P56" s="31"/>
      <c r="Q56" s="31"/>
      <c r="R56" s="31"/>
      <c r="S56" s="31"/>
      <c r="T56" s="31"/>
      <c r="U56" s="31"/>
    </row>
    <row r="57" spans="1:21" ht="18.75" x14ac:dyDescent="0.3">
      <c r="A57" s="33"/>
      <c r="B57" s="38" t="str">
        <f>IF(Start!D5="Deutsch","Ausführung der Schmelzplatte","Design of the melting plate")</f>
        <v>Ausführung der Schmelzplatte</v>
      </c>
      <c r="C57" s="39" t="s">
        <v>0</v>
      </c>
      <c r="D57" s="39"/>
      <c r="E57" s="39"/>
      <c r="F57" s="39"/>
      <c r="G57" s="39"/>
      <c r="H57" s="39"/>
      <c r="I57" s="39"/>
      <c r="J57" s="39"/>
      <c r="K57" s="40"/>
      <c r="L57" s="35"/>
      <c r="M57" s="31"/>
      <c r="N57" s="31"/>
      <c r="O57" s="31"/>
      <c r="P57" s="31"/>
      <c r="Q57" s="31"/>
      <c r="R57" s="31"/>
      <c r="S57" s="31"/>
      <c r="T57" s="31"/>
      <c r="U57" s="31"/>
    </row>
    <row r="58" spans="1:21" ht="9.9499999999999993" customHeight="1" x14ac:dyDescent="0.25">
      <c r="A58" s="33"/>
      <c r="L58" s="35"/>
      <c r="M58" s="31"/>
      <c r="N58" s="31"/>
      <c r="O58" s="31"/>
      <c r="P58" s="31"/>
      <c r="Q58" s="31"/>
      <c r="R58" s="31"/>
      <c r="S58" s="31"/>
      <c r="T58" s="31"/>
      <c r="U58" s="31"/>
    </row>
    <row r="59" spans="1:21" ht="15" customHeight="1" x14ac:dyDescent="0.25">
      <c r="A59" s="33"/>
      <c r="F59" s="50" t="str">
        <f>IF(Start!D5="Deutsch","Vergleichssystem","Compared system")</f>
        <v>Vergleichssystem</v>
      </c>
      <c r="G59" s="50"/>
      <c r="H59" s="50"/>
      <c r="I59" s="51" t="str">
        <f>IF(Start!D5="Deutsch","SM-Fassschmelzer","SM drum melter")</f>
        <v>SM-Fassschmelzer</v>
      </c>
      <c r="J59" s="51"/>
      <c r="K59" s="51"/>
      <c r="L59" s="35"/>
      <c r="M59" s="31"/>
      <c r="N59" s="31"/>
      <c r="O59" s="31"/>
      <c r="P59" s="31"/>
      <c r="Q59" s="31"/>
      <c r="R59" s="31"/>
      <c r="S59" s="31"/>
      <c r="T59" s="31"/>
      <c r="U59" s="31"/>
    </row>
    <row r="60" spans="1:21" ht="9.9499999999999993" customHeight="1" x14ac:dyDescent="0.25">
      <c r="A60" s="33"/>
      <c r="G60" s="45"/>
      <c r="I60" s="46"/>
      <c r="J60" s="46"/>
      <c r="K60" s="46"/>
      <c r="L60" s="35"/>
      <c r="M60" s="31"/>
      <c r="N60" s="31"/>
      <c r="O60" s="31"/>
      <c r="P60" s="31"/>
      <c r="Q60" s="31"/>
      <c r="R60" s="31"/>
      <c r="S60" s="31"/>
      <c r="T60" s="31"/>
      <c r="U60" s="31"/>
    </row>
    <row r="61" spans="1:21" x14ac:dyDescent="0.25">
      <c r="A61" s="33"/>
      <c r="B61" s="41" t="str">
        <f>IF(Start!D5="Deutsch","verwendete Schmelzplattenform:","Used melting plate shape:")</f>
        <v>verwendete Schmelzplattenform:</v>
      </c>
      <c r="I61" s="17" t="s">
        <v>9</v>
      </c>
      <c r="J61" s="18"/>
      <c r="K61" s="19"/>
      <c r="L61" s="35"/>
      <c r="M61" s="31"/>
      <c r="N61" s="31"/>
      <c r="O61" s="31"/>
      <c r="P61" s="31"/>
      <c r="Q61" s="31"/>
      <c r="R61" s="31"/>
      <c r="S61" s="31"/>
      <c r="T61" s="31"/>
      <c r="U61" s="31"/>
    </row>
    <row r="62" spans="1:21" ht="9.9499999999999993" customHeight="1" x14ac:dyDescent="0.25">
      <c r="A62" s="33"/>
      <c r="G62" s="45"/>
      <c r="I62" s="46"/>
      <c r="J62" s="46"/>
      <c r="K62" s="46"/>
      <c r="L62" s="35"/>
      <c r="M62" s="31"/>
      <c r="N62" s="31"/>
      <c r="O62" s="31"/>
      <c r="P62" s="31"/>
      <c r="Q62" s="31"/>
      <c r="R62" s="31"/>
      <c r="S62" s="31"/>
      <c r="T62" s="31"/>
      <c r="U62" s="31"/>
    </row>
    <row r="63" spans="1:21" x14ac:dyDescent="0.25">
      <c r="A63" s="33"/>
      <c r="B63" s="52" t="str">
        <f>IF(Start!D5="Deutsch","konstruktionsbedingt minimal erforderlicher Freiraum
oberhalb des Materialspiegels bis zur Fassoberkante:","Minimum required clearance due to the design
above the material level up to the top edge of the drum:")</f>
        <v>konstruktionsbedingt minimal erforderlicher Freiraum
oberhalb des Materialspiegels bis zur Fassoberkante:</v>
      </c>
      <c r="C63" s="52"/>
      <c r="D63" s="52"/>
      <c r="E63" s="52"/>
      <c r="F63" s="52"/>
      <c r="L63" s="35"/>
      <c r="M63" s="31"/>
      <c r="N63" s="31"/>
      <c r="O63" s="31"/>
      <c r="P63" s="31"/>
      <c r="Q63" s="31"/>
      <c r="R63" s="31"/>
      <c r="S63" s="31"/>
      <c r="T63" s="31"/>
      <c r="U63" s="31"/>
    </row>
    <row r="64" spans="1:21" x14ac:dyDescent="0.25">
      <c r="A64" s="33"/>
      <c r="B64" s="52"/>
      <c r="C64" s="52"/>
      <c r="D64" s="52"/>
      <c r="E64" s="52"/>
      <c r="F64" s="52"/>
      <c r="G64" s="6">
        <v>165</v>
      </c>
      <c r="H64" s="32" t="s">
        <v>5</v>
      </c>
      <c r="J64" s="53">
        <f>IF(I61="","",IF(OR(I61="flache Schmelzplatte 6 mm (25 kg/h)",I61="Flat melting plate 6 mm (25 kg/h)"),Start!F16,IF(OR(I61="Rippen-Schmelzplatte 15 mm (100 kg/h)",I61="Grit melting plate 15 mm (100 kg/h)"),Start!F17,IF(OR(I61="Rippen-Schmelzplatte 27 mm (150 kg/h)",I61="Grit melting plate 27 mm (150 kg/h)"),Start!F18,IF(OR(I61="Rippen-Schmelzplatte 40 mm (250 kg/h)",I61="Grit melting plate 40 mm (250 kg/h)"),Start!F19,Start!F20)))))</f>
        <v>50</v>
      </c>
      <c r="K64" s="32" t="s">
        <v>5</v>
      </c>
      <c r="L64" s="35"/>
      <c r="M64" s="31"/>
      <c r="N64" s="31"/>
      <c r="O64" s="31"/>
      <c r="P64" s="31"/>
      <c r="Q64" s="31"/>
      <c r="R64" s="31"/>
      <c r="S64" s="31"/>
      <c r="T64" s="31"/>
      <c r="U64" s="31"/>
    </row>
    <row r="65" spans="1:21" ht="5.0999999999999996" customHeight="1" x14ac:dyDescent="0.25">
      <c r="A65" s="33"/>
      <c r="L65" s="35"/>
      <c r="M65" s="31"/>
      <c r="N65" s="31"/>
      <c r="O65" s="31"/>
      <c r="P65" s="31"/>
      <c r="Q65" s="31"/>
      <c r="R65" s="31"/>
      <c r="S65" s="31"/>
      <c r="T65" s="31"/>
      <c r="U65" s="31"/>
    </row>
    <row r="66" spans="1:21" x14ac:dyDescent="0.25">
      <c r="A66" s="33"/>
      <c r="B66" s="41" t="str">
        <f>IF(Start!D5="Deutsch","resultierender maximal möglicher Fassinhalt:","Resulting maximum possible drum content:")</f>
        <v>resultierender maximal möglicher Fassinhalt:</v>
      </c>
      <c r="G66" s="49">
        <f>IF(OR(J5="",J7="",J9="",G64=""),"",((J5/200)*(J5/200)*3.14159)*((J7-J9-G64)/100))</f>
        <v>184.37168613420002</v>
      </c>
      <c r="H66" s="32" t="str">
        <f>IF(Start!D5="Deutsch"," Liter"," liter")</f>
        <v xml:space="preserve"> Liter</v>
      </c>
      <c r="J66" s="49">
        <f>IF(OR(J5="",J7="",J9="",J64=""),"",((J5/200)*(J5/200)*3.14159)*((J7-J9-J64)/100))</f>
        <v>213.81994155841252</v>
      </c>
      <c r="K66" s="32" t="str">
        <f>IF(Start!D5="Deutsch"," Liter"," liter")</f>
        <v xml:space="preserve"> Liter</v>
      </c>
      <c r="L66" s="35"/>
      <c r="M66" s="31"/>
      <c r="N66" s="31"/>
      <c r="O66" s="31"/>
      <c r="P66" s="31"/>
      <c r="Q66" s="31"/>
      <c r="R66" s="31"/>
      <c r="S66" s="31"/>
      <c r="T66" s="31"/>
      <c r="U66" s="31"/>
    </row>
    <row r="67" spans="1:21" ht="5.0999999999999996" customHeight="1" x14ac:dyDescent="0.25">
      <c r="A67" s="33"/>
      <c r="L67" s="35"/>
      <c r="M67" s="31"/>
      <c r="N67" s="31"/>
      <c r="O67" s="31"/>
      <c r="P67" s="31"/>
      <c r="Q67" s="31"/>
      <c r="R67" s="31"/>
      <c r="S67" s="31"/>
      <c r="T67" s="31"/>
      <c r="U67" s="31"/>
    </row>
    <row r="68" spans="1:21" x14ac:dyDescent="0.25">
      <c r="A68" s="33"/>
      <c r="B68" s="41" t="str">
        <f>IF(Start!D5="Deutsch","Klebstoffverlust durch konstruktionsbedingte Restmenge im Fass:","Adhesive loss due to design-related residual quantity in the drum:")</f>
        <v>Klebstoffverlust durch konstruktionsbedingte Restmenge im Fass:</v>
      </c>
      <c r="G68" s="3">
        <v>10</v>
      </c>
      <c r="H68" s="32" t="str">
        <f>IF(Start!D5="Deutsch"," Liter"," liter")</f>
        <v xml:space="preserve"> Liter</v>
      </c>
      <c r="J68" s="43">
        <f>IF(I61="","",IF(OR(I61="flache Schmelzplatte 6 mm (25 kg/h)",I61="Flat melting plate 6 mm (25 kg/h)"),Start!E16,IF(OR(I61="Rippen-Schmelzplatte 15 mm (100 kg/h)",I61="Grit melting plate 15 mm (100 kg/h)"),Start!E17,IF(OR(I61="Rippen-Schmelzplatte 27 mm (150 kg/h)",I61="Grit melting plate 27 mm (150 kg/h)"),Start!E18,IF(OR(I61="Rippen-Schmelzplatte 40 mm (250 kg/h)",I61="Grit melting plate 40 mm (250 kg/h)"),Start!E19,Start!E20)))))</f>
        <v>0.6</v>
      </c>
      <c r="K68" s="32" t="str">
        <f>IF(Start!D5="Deutsch"," Liter"," liter")</f>
        <v xml:space="preserve"> Liter</v>
      </c>
      <c r="L68" s="35"/>
      <c r="M68" s="31"/>
      <c r="N68" s="31"/>
      <c r="O68" s="31"/>
      <c r="P68" s="44"/>
      <c r="Q68" s="31"/>
      <c r="R68" s="31"/>
      <c r="S68" s="31"/>
      <c r="T68" s="31"/>
      <c r="U68" s="31"/>
    </row>
    <row r="69" spans="1:21" ht="5.0999999999999996" customHeight="1" x14ac:dyDescent="0.25">
      <c r="A69" s="33"/>
      <c r="L69" s="35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25">
      <c r="A70" s="33"/>
      <c r="B70" s="41" t="str">
        <f>IF(Start!D5="Deutsch","Klebstoffverlust durch Pumpenentlüftung:","Adhesive loss due to pump venting:")</f>
        <v>Klebstoffverlust durch Pumpenentlüftung:</v>
      </c>
      <c r="G70" s="3">
        <v>0.5</v>
      </c>
      <c r="H70" s="32" t="str">
        <f>IF(Start!D5="Deutsch"," Liter"," liter")</f>
        <v xml:space="preserve"> Liter</v>
      </c>
      <c r="J70" s="3">
        <v>0.5</v>
      </c>
      <c r="K70" s="32" t="str">
        <f>IF(Start!D5="Deutsch"," Liter"," liter")</f>
        <v xml:space="preserve"> Liter</v>
      </c>
      <c r="L70" s="35"/>
      <c r="M70" s="31"/>
      <c r="N70" s="31"/>
      <c r="O70" s="31"/>
      <c r="P70" s="44"/>
      <c r="Q70" s="31"/>
      <c r="R70" s="31"/>
      <c r="S70" s="31"/>
      <c r="T70" s="31"/>
      <c r="U70" s="31"/>
    </row>
    <row r="71" spans="1:21" ht="9.9499999999999993" customHeight="1" collapsed="1" x14ac:dyDescent="0.25">
      <c r="A71" s="33"/>
      <c r="L71" s="35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18.75" x14ac:dyDescent="0.3">
      <c r="A72" s="33"/>
      <c r="B72" s="38" t="str">
        <f>IF(Start!D5="Deutsch","Gegenüberstellung des Klebstoffbedarfs und der Gesamtkosten","Comparison of adhesive requirements and total costs")</f>
        <v>Gegenüberstellung des Klebstoffbedarfs und der Gesamtkosten</v>
      </c>
      <c r="C72" s="39"/>
      <c r="D72" s="39"/>
      <c r="E72" s="39"/>
      <c r="F72" s="39"/>
      <c r="G72" s="39"/>
      <c r="H72" s="39"/>
      <c r="I72" s="39"/>
      <c r="J72" s="39"/>
      <c r="K72" s="40"/>
      <c r="L72" s="35"/>
      <c r="M72" s="31"/>
      <c r="N72" s="31"/>
      <c r="O72" s="31"/>
      <c r="P72" s="31"/>
      <c r="Q72" s="31"/>
      <c r="R72" s="31"/>
      <c r="S72" s="31"/>
      <c r="T72" s="2"/>
    </row>
    <row r="73" spans="1:21" ht="9.9499999999999993" customHeight="1" x14ac:dyDescent="0.25">
      <c r="A73" s="33"/>
      <c r="B73" s="41"/>
      <c r="L73" s="35"/>
      <c r="M73" s="31"/>
      <c r="N73" s="31"/>
      <c r="O73" s="31"/>
      <c r="P73" s="31"/>
      <c r="Q73" s="31"/>
      <c r="R73" s="31"/>
      <c r="S73" s="31"/>
    </row>
    <row r="74" spans="1:21" ht="15" customHeight="1" x14ac:dyDescent="0.25">
      <c r="A74" s="33"/>
      <c r="B74" s="20" t="s">
        <v>11</v>
      </c>
      <c r="C74" s="21"/>
      <c r="D74" s="21"/>
      <c r="E74" s="22"/>
      <c r="F74" s="50" t="str">
        <f>IF(Start!D5="Deutsch","Vergleichssystem","Compared system")</f>
        <v>Vergleichssystem</v>
      </c>
      <c r="G74" s="50"/>
      <c r="H74" s="50"/>
      <c r="I74" s="51" t="str">
        <f>IF(Start!D5="Deutsch","SM-Fassschmelzer","SM drum melter")</f>
        <v>SM-Fassschmelzer</v>
      </c>
      <c r="J74" s="51"/>
      <c r="K74" s="51"/>
      <c r="L74" s="35"/>
      <c r="M74" s="31"/>
      <c r="N74" s="31"/>
      <c r="O74" s="31"/>
      <c r="P74" s="31"/>
      <c r="Q74" s="31"/>
      <c r="R74" s="31"/>
      <c r="S74" s="31"/>
      <c r="T74" s="2"/>
    </row>
    <row r="75" spans="1:21" ht="15" customHeight="1" x14ac:dyDescent="0.25">
      <c r="A75" s="33"/>
      <c r="F75" s="54"/>
      <c r="G75" s="54"/>
      <c r="H75" s="54"/>
      <c r="I75" s="46"/>
      <c r="J75" s="46"/>
      <c r="K75" s="46"/>
      <c r="L75" s="35"/>
      <c r="M75" s="31"/>
      <c r="N75" s="31"/>
      <c r="O75" s="31"/>
      <c r="P75" s="31"/>
      <c r="Q75" s="31"/>
      <c r="R75" s="31"/>
      <c r="S75" s="31"/>
      <c r="T75" s="2"/>
    </row>
    <row r="76" spans="1:21" ht="15" customHeight="1" x14ac:dyDescent="0.25">
      <c r="A76" s="33"/>
      <c r="B76" s="41" t="str">
        <f>IF(Start!D5="Deutsch","resultierendes Klebstoffgewicht pro Fass:","Resulting adhesive weight per drum:")</f>
        <v>resultierendes Klebstoffgewicht pro Fass:</v>
      </c>
      <c r="G76" s="43">
        <f>IF(OR(B74="",J49="",J13="",J53=""),"",IF(OR(B74="bei aktueller Befüllhöhe",B74="With current filling level"),J49*J13,G66*J13))</f>
        <v>184.37168613420002</v>
      </c>
      <c r="H76" s="32" t="s">
        <v>4</v>
      </c>
      <c r="J76" s="43">
        <f>IF(OR(B74="",J49="",J13="",J53=""),"",IF(OR(B74="bei aktueller Befüllhöhe",B74="With current filling level"),J49*J13,J53*J13))</f>
        <v>213.81994155841252</v>
      </c>
      <c r="K76" s="32" t="s">
        <v>4</v>
      </c>
      <c r="L76" s="35"/>
      <c r="M76" s="31"/>
      <c r="N76" s="31"/>
      <c r="O76" s="31"/>
      <c r="P76" s="31"/>
      <c r="Q76" s="31"/>
      <c r="R76" s="31"/>
      <c r="S76" s="31"/>
      <c r="T76" s="2"/>
    </row>
    <row r="77" spans="1:21" ht="5.0999999999999996" customHeight="1" x14ac:dyDescent="0.25">
      <c r="A77" s="33"/>
      <c r="L77" s="35"/>
      <c r="M77" s="31"/>
      <c r="N77" s="31"/>
      <c r="O77" s="31"/>
      <c r="P77" s="31"/>
      <c r="Q77" s="31"/>
      <c r="R77" s="31"/>
      <c r="S77" s="31"/>
      <c r="T77" s="2"/>
    </row>
    <row r="78" spans="1:21" ht="15" customHeight="1" x14ac:dyDescent="0.25">
      <c r="A78" s="33"/>
      <c r="B78" s="41" t="str">
        <f>IF(Start!D5="Deutsch","monatl. Gesamt-Klebstoffbedarf - Produktion und Verluste:","Total monthly adhesive demand - production and losses:")</f>
        <v>monatl. Gesamt-Klebstoffbedarf - Produktion und Verluste:</v>
      </c>
      <c r="G78" s="43">
        <f>IF(G80="","",G80/12)</f>
        <v>16.086429615208953</v>
      </c>
      <c r="H78" s="32" t="str">
        <f>IF(Start!D5="Deutsch"," t/Monat"," t/month")</f>
        <v xml:space="preserve"> t/Monat</v>
      </c>
      <c r="J78" s="43">
        <f>IF(J80="","",J80/12)</f>
        <v>15.252489164500092</v>
      </c>
      <c r="K78" s="32" t="str">
        <f>IF(Start!D5="Deutsch"," t/Monat"," t/month")</f>
        <v xml:space="preserve"> t/Monat</v>
      </c>
      <c r="L78" s="35"/>
      <c r="M78" s="31"/>
      <c r="N78" s="31"/>
      <c r="O78" s="31"/>
      <c r="P78" s="31"/>
      <c r="Q78" s="31"/>
      <c r="R78" s="31"/>
      <c r="S78" s="31"/>
      <c r="T78" s="2"/>
    </row>
    <row r="79" spans="1:21" ht="5.0999999999999996" customHeight="1" x14ac:dyDescent="0.25">
      <c r="A79" s="33"/>
      <c r="L79" s="35"/>
      <c r="M79" s="31"/>
      <c r="N79" s="31"/>
      <c r="O79" s="31"/>
      <c r="P79" s="31"/>
      <c r="Q79" s="31"/>
      <c r="R79" s="31"/>
      <c r="S79" s="31"/>
      <c r="T79" s="2"/>
    </row>
    <row r="80" spans="1:21" ht="15" customHeight="1" x14ac:dyDescent="0.25">
      <c r="A80" s="33"/>
      <c r="B80" s="41" t="str">
        <f>IF(Start!D5="Deutsch","jährl. Gesamt-Klebstoffbedarf - Produktion und Verluste:","Total annual adhesive demand - production and losses:")</f>
        <v>jährl. Gesamt-Klebstoffbedarf - Produktion und Verluste:</v>
      </c>
      <c r="G80" s="43">
        <f>IF(OR(G82="",G76=""),"",(G82*G76)/1000)</f>
        <v>193.03715538250742</v>
      </c>
      <c r="H80" s="32" t="str">
        <f>IF(Start!D5="Deutsch"," t/Jahr"," t/year")</f>
        <v xml:space="preserve"> t/Jahr</v>
      </c>
      <c r="J80" s="43">
        <f>IF(OR(J82="",J76=""),"",(J82*J76)/1000)</f>
        <v>183.02986997400112</v>
      </c>
      <c r="K80" s="32" t="str">
        <f>IF(Start!D5="Deutsch"," t/Jahr"," t/year")</f>
        <v xml:space="preserve"> t/Jahr</v>
      </c>
      <c r="L80" s="35"/>
      <c r="M80" s="31"/>
      <c r="N80" s="55"/>
      <c r="O80" s="31"/>
      <c r="P80" s="31"/>
      <c r="Q80" s="31"/>
      <c r="R80" s="31"/>
      <c r="S80" s="31"/>
      <c r="T80" s="2"/>
    </row>
    <row r="81" spans="1:20" ht="5.0999999999999996" customHeight="1" x14ac:dyDescent="0.25">
      <c r="A81" s="33"/>
      <c r="L81" s="35"/>
      <c r="M81" s="31"/>
      <c r="N81" s="31"/>
      <c r="O81" s="31"/>
      <c r="P81" s="31"/>
      <c r="Q81" s="31"/>
      <c r="R81" s="31"/>
      <c r="S81" s="31"/>
      <c r="T81" s="2"/>
    </row>
    <row r="82" spans="1:20" ht="15" customHeight="1" x14ac:dyDescent="0.25">
      <c r="A82" s="33"/>
      <c r="B82" s="41" t="str">
        <f>IF(Start!D5="Deutsch","jährlich erforderliche Klebstofffässer:","Annually required adhesive drums:")</f>
        <v>jährlich erforderliche Klebstofffässer:</v>
      </c>
      <c r="G82" s="53">
        <f>IF(OR(J23="",J49="",G68="",G70=""),"",IF(OR(B74="bei aktueller Befüllhöhe",B74="With current filling level"),ROUNDUP((J23*1000/J13)/(J49-(G68+G70)),0),ROUNDUP((J23*1000/J13)/(G66-(G68+G70)),0)))</f>
        <v>1047</v>
      </c>
      <c r="H82" s="32" t="str">
        <f>IF(Start!D5="Deutsch"," Fässer"," drums")</f>
        <v xml:space="preserve"> Fässer</v>
      </c>
      <c r="J82" s="53">
        <f>IF(OR(J23="",J49="",J68="",J70=""),"",IF(OR(B74="bei aktueller Befüllhöhe",B74="With current filling level"),ROUNDUP((J23*1000/J13)/(J49-(J68+J70)),0),ROUNDUP((J23*1000/J13)/(J53-(J68+J70)),0)))</f>
        <v>856</v>
      </c>
      <c r="K82" s="32" t="str">
        <f>IF(Start!D5="Deutsch"," Fässer"," drums")</f>
        <v xml:space="preserve"> Fässer</v>
      </c>
      <c r="L82" s="35"/>
      <c r="M82" s="31"/>
      <c r="N82" s="31"/>
      <c r="O82" s="31"/>
      <c r="P82" s="31"/>
      <c r="Q82" s="31"/>
      <c r="R82" s="31"/>
      <c r="S82" s="31"/>
      <c r="T82" s="2"/>
    </row>
    <row r="83" spans="1:20" ht="5.0999999999999996" customHeight="1" x14ac:dyDescent="0.25">
      <c r="A83" s="33"/>
      <c r="B83" s="41"/>
      <c r="L83" s="35"/>
      <c r="M83" s="31"/>
      <c r="N83" s="31"/>
      <c r="O83" s="31"/>
      <c r="P83" s="31"/>
      <c r="Q83" s="31"/>
      <c r="R83" s="31"/>
      <c r="S83" s="31"/>
      <c r="T83" s="2"/>
    </row>
    <row r="84" spans="1:20" ht="15" customHeight="1" x14ac:dyDescent="0.25">
      <c r="A84" s="33"/>
      <c r="B84" s="41" t="str">
        <f>IF(Start!D5="Deutsch","Summe der Nebenkosten per kg:","Total additional costs per kg:")</f>
        <v>Summe der Nebenkosten per kg:</v>
      </c>
      <c r="G84" s="43">
        <f>IF(OR(G76="",J43=""),"",J43/G76)</f>
        <v>0.56407793507025117</v>
      </c>
      <c r="H84" s="32" t="s">
        <v>7</v>
      </c>
      <c r="J84" s="43">
        <f>IF(OR(J76="",J43=""),"",J43/J76)</f>
        <v>0.48639055479111476</v>
      </c>
      <c r="K84" s="32" t="s">
        <v>7</v>
      </c>
      <c r="L84" s="35"/>
      <c r="M84" s="31"/>
      <c r="N84" s="31"/>
      <c r="O84" s="31"/>
      <c r="P84" s="31"/>
      <c r="Q84" s="31"/>
      <c r="R84" s="31"/>
      <c r="S84" s="31"/>
      <c r="T84" s="2"/>
    </row>
    <row r="85" spans="1:20" ht="5.0999999999999996" customHeight="1" x14ac:dyDescent="0.25">
      <c r="A85" s="33"/>
      <c r="L85" s="35"/>
      <c r="M85" s="31"/>
      <c r="N85" s="31"/>
      <c r="O85" s="31"/>
      <c r="P85" s="31"/>
      <c r="Q85" s="31"/>
      <c r="R85" s="31"/>
      <c r="S85" s="31"/>
      <c r="T85" s="2"/>
    </row>
    <row r="86" spans="1:20" ht="15" customHeight="1" x14ac:dyDescent="0.25">
      <c r="A86" s="33"/>
      <c r="B86" s="41" t="str">
        <f>IF(Start!D5="Deutsch","Gesamt-Klebstoff-Kilogrammpreis inklusive Nebenkosten:","Total adhesive price per kilogram including additional costs:")</f>
        <v>Gesamt-Klebstoff-Kilogrammpreis inklusive Nebenkosten:</v>
      </c>
      <c r="G86" s="43">
        <f>IF(OR(J27="",G84=""),"",G84+J27)</f>
        <v>5.5640779350702516</v>
      </c>
      <c r="H86" s="32" t="s">
        <v>7</v>
      </c>
      <c r="J86" s="43">
        <f>IF(OR(J27="",J84=""),"",J84+J27)</f>
        <v>5.4863905547911145</v>
      </c>
      <c r="K86" s="32" t="s">
        <v>7</v>
      </c>
      <c r="L86" s="35"/>
      <c r="M86" s="31"/>
      <c r="N86" s="31"/>
      <c r="O86" s="31"/>
      <c r="P86" s="31"/>
      <c r="Q86" s="31"/>
      <c r="R86" s="31"/>
      <c r="S86" s="31"/>
    </row>
    <row r="87" spans="1:20" ht="5.0999999999999996" customHeight="1" x14ac:dyDescent="0.25">
      <c r="A87" s="33"/>
      <c r="L87" s="35"/>
      <c r="M87" s="31"/>
      <c r="N87" s="31"/>
      <c r="O87" s="31"/>
      <c r="P87" s="31"/>
      <c r="Q87" s="31"/>
      <c r="R87" s="31"/>
      <c r="S87" s="31"/>
    </row>
    <row r="88" spans="1:20" ht="15" customHeight="1" x14ac:dyDescent="0.25">
      <c r="A88" s="33"/>
      <c r="B88" s="41" t="str">
        <f>IF(Start!D5="Deutsch","Gesamtkosten für den Klebstoffbedarf pro Jahr:","Total cost of adhesive requirements per year:")</f>
        <v>Gesamtkosten für den Klebstoffbedarf pro Jahr:</v>
      </c>
      <c r="G88" s="56">
        <f>IF(OR(G80="",G86=""),"",G80*1000*G86)</f>
        <v>1074073.7769125372</v>
      </c>
      <c r="H88" s="32" t="s">
        <v>6</v>
      </c>
      <c r="J88" s="56">
        <f>IF(OR(J80="",J86=""),"",J80*1000*J86)</f>
        <v>1004173.3498700055</v>
      </c>
      <c r="K88" s="32" t="s">
        <v>6</v>
      </c>
      <c r="L88" s="35"/>
      <c r="M88" s="31"/>
      <c r="N88" s="31"/>
      <c r="O88" s="31"/>
      <c r="P88" s="31"/>
      <c r="Q88" s="31"/>
      <c r="R88" s="31"/>
      <c r="S88" s="31"/>
    </row>
    <row r="89" spans="1:20" ht="9.9499999999999993" customHeight="1" x14ac:dyDescent="0.25">
      <c r="A89" s="33"/>
      <c r="B89" s="41"/>
      <c r="L89" s="35"/>
      <c r="M89" s="31"/>
      <c r="N89" s="31"/>
      <c r="O89" s="31"/>
      <c r="P89" s="31"/>
      <c r="Q89" s="31"/>
      <c r="R89" s="31"/>
      <c r="S89" s="31"/>
    </row>
    <row r="90" spans="1:20" ht="18.75" x14ac:dyDescent="0.3">
      <c r="A90" s="33"/>
      <c r="B90" s="38" t="str">
        <f>IF(Start!D5="Deutsch","Potenzielle Einsparung bei der Klebstoffverarbeitung","Potential savings in adhesive processing")</f>
        <v>Potenzielle Einsparung bei der Klebstoffverarbeitung</v>
      </c>
      <c r="C90" s="39"/>
      <c r="D90" s="39"/>
      <c r="E90" s="39"/>
      <c r="F90" s="39"/>
      <c r="G90" s="39"/>
      <c r="H90" s="39"/>
      <c r="I90" s="39"/>
      <c r="J90" s="39"/>
      <c r="K90" s="40"/>
      <c r="L90" s="35"/>
      <c r="M90" s="31"/>
      <c r="N90" s="31"/>
      <c r="O90" s="31"/>
      <c r="P90" s="31"/>
      <c r="Q90" s="31"/>
      <c r="R90" s="23"/>
      <c r="S90" s="31"/>
    </row>
    <row r="91" spans="1:20" ht="9.9499999999999993" customHeight="1" x14ac:dyDescent="0.25">
      <c r="A91" s="33"/>
      <c r="L91" s="35"/>
      <c r="M91" s="31"/>
      <c r="N91" s="31"/>
      <c r="O91" s="31"/>
      <c r="P91" s="31"/>
      <c r="Q91" s="31"/>
      <c r="R91" s="31"/>
      <c r="S91" s="31"/>
    </row>
    <row r="92" spans="1:20" x14ac:dyDescent="0.25">
      <c r="A92" s="33"/>
      <c r="B92" s="48" t="str">
        <f>IF(Start!D5="Deutsch","jährliche Gesamteinsparung:","Overall savings per year:")</f>
        <v>jährliche Gesamteinsparung:</v>
      </c>
      <c r="G92" s="57">
        <f>IF(OR(G88="",J88=""),"",G82-J82)</f>
        <v>191</v>
      </c>
      <c r="H92" s="45" t="str">
        <f>IF(Start!D5="Deutsch"," Fässer"," drums")</f>
        <v xml:space="preserve"> Fässer</v>
      </c>
      <c r="J92" s="57">
        <f>IF(OR(G88="",J88=""),"",G88-J88)</f>
        <v>69900.427042531664</v>
      </c>
      <c r="K92" s="45" t="s">
        <v>6</v>
      </c>
      <c r="L92" s="35"/>
      <c r="M92" s="31"/>
      <c r="N92" s="31"/>
      <c r="O92" s="31"/>
      <c r="P92" s="31"/>
      <c r="Q92" s="31"/>
      <c r="R92" s="31"/>
      <c r="S92" s="31"/>
    </row>
    <row r="93" spans="1:20" ht="9.9499999999999993" customHeight="1" x14ac:dyDescent="0.25">
      <c r="A93" s="58"/>
      <c r="B93" s="59"/>
      <c r="C93" s="60"/>
      <c r="D93" s="60"/>
      <c r="E93" s="60"/>
      <c r="F93" s="60"/>
      <c r="G93" s="60"/>
      <c r="H93" s="60"/>
      <c r="I93" s="60"/>
      <c r="J93" s="60"/>
      <c r="K93" s="60"/>
      <c r="L93" s="61"/>
      <c r="M93" s="31"/>
      <c r="N93" s="31"/>
      <c r="O93" s="31"/>
      <c r="P93" s="31"/>
      <c r="Q93" s="31"/>
      <c r="R93" s="31"/>
      <c r="S93" s="31"/>
    </row>
    <row r="94" spans="1:20" ht="39.950000000000003" customHeight="1" x14ac:dyDescent="0.25">
      <c r="A94" s="16" t="str">
        <f>IF(Start!D5="Deutsch"," ←   zurück zur Startseite"," ←   back to start")</f>
        <v xml:space="preserve"> ←   zurück zur Startseite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31"/>
      <c r="N94" s="31"/>
      <c r="O94" s="31"/>
      <c r="P94" s="31"/>
      <c r="Q94" s="31"/>
      <c r="R94" s="31"/>
      <c r="S94" s="31"/>
    </row>
    <row r="95" spans="1:20" x14ac:dyDescent="0.25">
      <c r="G95" s="62"/>
    </row>
    <row r="96" spans="1:20" x14ac:dyDescent="0.25">
      <c r="B96" s="41"/>
    </row>
    <row r="97" spans="6:6" x14ac:dyDescent="0.25">
      <c r="F97" s="63"/>
    </row>
  </sheetData>
  <sheetProtection algorithmName="SHA-512" hashValue="onYfNOHGo+DAcRHDSCUrcEwUNtikxDiUofc4fXQDcJidoj4LJ8L6B7MWOBWsjs9ubqtxpXbbFg9gdhDXCkxICg==" saltValue="DjztR4sWLcOy91go0ENuOA==" spinCount="100000" sheet="1" selectLockedCells="1"/>
  <mergeCells count="20">
    <mergeCell ref="F59:H59"/>
    <mergeCell ref="I59:K59"/>
    <mergeCell ref="B45:K45"/>
    <mergeCell ref="F74:H74"/>
    <mergeCell ref="B74:E74"/>
    <mergeCell ref="D47:F47"/>
    <mergeCell ref="D51:F51"/>
    <mergeCell ref="A1:D1"/>
    <mergeCell ref="E1:L1"/>
    <mergeCell ref="B3:K3"/>
    <mergeCell ref="B57:K57"/>
    <mergeCell ref="I74:K74"/>
    <mergeCell ref="B90:K90"/>
    <mergeCell ref="A94:L94"/>
    <mergeCell ref="I61:K61"/>
    <mergeCell ref="B63:F64"/>
    <mergeCell ref="B15:K15"/>
    <mergeCell ref="B29:K29"/>
    <mergeCell ref="B25:K25"/>
    <mergeCell ref="B72:K72"/>
  </mergeCells>
  <hyperlinks>
    <hyperlink ref="A94:L94" location="Start!D5" display="Start!D5" xr:uid="{58A71382-17AE-4F4C-A210-AE9D6B6EE767}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02EE4EE-6128-4DD6-94ED-D361E9A4BC9F}">
          <x14:formula1>
            <xm:f>Start!$G$16:$G$17</xm:f>
          </x14:formula1>
          <xm:sqref>B74</xm:sqref>
        </x14:dataValidation>
        <x14:dataValidation type="list" allowBlank="1" showInputMessage="1" showErrorMessage="1" xr:uid="{964A9BAC-EB7B-4DF3-A33A-D116E139E53E}">
          <x14:formula1>
            <xm:f>Start!$D$16:$D$19</xm:f>
          </x14:formula1>
          <xm:sqref>I61:K61</xm:sqref>
        </x14:dataValidation>
        <x14:dataValidation type="list" allowBlank="1" showInputMessage="1" showErrorMessage="1" xr:uid="{9641C953-A567-4900-82B0-18435F9A8E5A}">
          <x14:formula1>
            <xm:f>Start!$C$16:$C$17</xm:f>
          </x14:formula1>
          <xm:sqref>D47 D51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Start</vt:lpstr>
      <vt:lpstr>Ersparnisrechner kurz</vt:lpstr>
      <vt:lpstr>Ersparnisrechner lang</vt:lpstr>
      <vt:lpstr>'Ersparnisrechner kurz'!Druckbereich</vt:lpstr>
      <vt:lpstr>'Ersparnisrechner lang'!Druckbereich</vt:lpstr>
      <vt:lpstr>Start!Druckbereich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Schog | SM Klebetechnik</dc:creator>
  <cp:lastModifiedBy>Jens Backer | SM Klebetechnik</cp:lastModifiedBy>
  <cp:lastPrinted>2025-10-20T13:41:55Z</cp:lastPrinted>
  <dcterms:created xsi:type="dcterms:W3CDTF">2024-09-30T10:19:07Z</dcterms:created>
  <dcterms:modified xsi:type="dcterms:W3CDTF">2025-10-20T14:21:15Z</dcterms:modified>
</cp:coreProperties>
</file>